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L:\Personal Folders\PPlics\pF-curves\"/>
    </mc:Choice>
  </mc:AlternateContent>
  <xr:revisionPtr revIDLastSave="0" documentId="13_ncr:40009_{1C25DF7B-7BCF-4402-84D3-3FB7741D5F66}" xr6:coauthVersionLast="45" xr6:coauthVersionMax="45" xr10:uidLastSave="{00000000-0000-0000-0000-000000000000}"/>
  <bookViews>
    <workbookView showHorizontalScroll="0" showVerticalScroll="0" xWindow="-120" yWindow="-120" windowWidth="29040" windowHeight="15990"/>
  </bookViews>
  <sheets>
    <sheet name="Desktop" sheetId="4" r:id="rId1"/>
    <sheet name="Soil type assignment" sheetId="5" state="hidden" r:id="rId2"/>
    <sheet name="Calculations" sheetId="2" state="hidden" r:id="rId3"/>
    <sheet name="Correction MWHC" sheetId="6" state="hidden" r:id="rId4"/>
  </sheets>
  <definedNames>
    <definedName name="_0.75θfc_act">Calculations!$B$45</definedName>
    <definedName name="Bouwstenen">Calculations!$A$4:$A$8</definedName>
    <definedName name="clay">Desktop!$D$6</definedName>
    <definedName name="Correction_factor_MWHC">Calculations!$B$33</definedName>
    <definedName name="MWHC">Calculations!$I$23:$I$24</definedName>
    <definedName name="MWHC_calc">Calculations!$B$32</definedName>
    <definedName name="MWHC_fraction">Calculations!$B$31</definedName>
    <definedName name="MWHC_input">Desktop!$D$17</definedName>
    <definedName name="MWHC_List">Calculations!$I$23:$I$24</definedName>
    <definedName name="MWHC_vv_pF0">Calculations!$B$34</definedName>
    <definedName name="organic_matter">Desktop!$D$8</definedName>
    <definedName name="Percentage_MWHC">Desktop!$D$20</definedName>
    <definedName name="pF_0.75FC">Calculations!$B$46</definedName>
    <definedName name="pF_at_MWHC">Desktop!$D$19</definedName>
    <definedName name="pF_input">Desktop!$D$46</definedName>
    <definedName name="pF_List">Calculations!$I$27:$I$29</definedName>
    <definedName name="pF_θact">Calculations!$B$36</definedName>
    <definedName name="_xlnm.Print_Area" localSheetId="0">Desktop!$B$2:$N$50</definedName>
    <definedName name="RHO_act">Desktop!$D$21</definedName>
    <definedName name="RHO_default">Calculations!$B$28</definedName>
    <definedName name="sand">Desktop!$D$4</definedName>
    <definedName name="silt">Desktop!$D$5</definedName>
    <definedName name="SoiltypeHYPRES">'Soil type assignment'!$B$35</definedName>
    <definedName name="Sum">'Soil type assignment'!$D$21</definedName>
    <definedName name="SumError">'Soil type assignment'!$B$25</definedName>
    <definedName name="vv_mm_FC">Desktop!$D$34</definedName>
    <definedName name="vv_mm_MWHC">Desktop!$D$18</definedName>
    <definedName name="θ_fc_fraction">Calculations!$B$43</definedName>
    <definedName name="θ_fc_input">Desktop!$D$33</definedName>
    <definedName name="θ_h">Calculations!$B$52</definedName>
    <definedName name="θact">Calculations!$B$35</definedName>
    <definedName name="θfc_act">Calculations!$B$44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3" i="5" l="1"/>
  <c r="B21" i="5"/>
  <c r="B22" i="5"/>
  <c r="D21" i="5"/>
  <c r="B25" i="5" s="1"/>
  <c r="F11" i="4" s="1"/>
  <c r="A28" i="5"/>
  <c r="B35" i="5"/>
  <c r="D11" i="4" s="1"/>
  <c r="A33" i="5"/>
  <c r="A32" i="5"/>
  <c r="A31" i="5"/>
  <c r="A29" i="5"/>
  <c r="B43" i="2"/>
  <c r="B44" i="2"/>
  <c r="E19" i="2" s="1"/>
  <c r="B31" i="2"/>
  <c r="B32" i="2"/>
  <c r="B34" i="2" s="1"/>
  <c r="A30" i="5"/>
  <c r="B33" i="2"/>
  <c r="B26" i="2"/>
  <c r="O7" i="6"/>
  <c r="P7" i="6"/>
  <c r="L7" i="6"/>
  <c r="M7" i="6"/>
  <c r="O6" i="6"/>
  <c r="P6" i="6"/>
  <c r="L6" i="6"/>
  <c r="M6" i="6"/>
  <c r="O5" i="6"/>
  <c r="P5" i="6"/>
  <c r="L5" i="6"/>
  <c r="M5" i="6"/>
  <c r="O4" i="6"/>
  <c r="P4" i="6"/>
  <c r="L4" i="6"/>
  <c r="M4" i="6"/>
  <c r="O3" i="6"/>
  <c r="P3" i="6"/>
  <c r="L3" i="6"/>
  <c r="M3" i="6"/>
  <c r="O2" i="6"/>
  <c r="P2" i="6"/>
  <c r="L2" i="6"/>
  <c r="M2" i="6"/>
  <c r="I7" i="6"/>
  <c r="J7" i="6"/>
  <c r="R7" i="6" s="1"/>
  <c r="I6" i="6"/>
  <c r="J6" i="6"/>
  <c r="R6" i="6" s="1"/>
  <c r="I5" i="6"/>
  <c r="J5" i="6"/>
  <c r="R5" i="6" s="1"/>
  <c r="I4" i="6"/>
  <c r="J4" i="6"/>
  <c r="R4" i="6" s="1"/>
  <c r="I3" i="6"/>
  <c r="J3" i="6"/>
  <c r="R3" i="6" s="1"/>
  <c r="I2" i="6"/>
  <c r="J2" i="6"/>
  <c r="R2" i="6" s="1"/>
  <c r="B24" i="5"/>
  <c r="B4" i="2"/>
  <c r="C4" i="2" s="1"/>
  <c r="D4" i="2" s="1"/>
  <c r="B6" i="2"/>
  <c r="C6" i="2"/>
  <c r="D6" i="2" s="1"/>
  <c r="B9" i="2"/>
  <c r="C9" i="2" s="1"/>
  <c r="D9" i="2" s="1"/>
  <c r="B45" i="2"/>
  <c r="F14" i="2" s="1"/>
  <c r="G14" i="2" s="1"/>
  <c r="F18" i="2"/>
  <c r="D37" i="4"/>
  <c r="E18" i="2"/>
  <c r="E16" i="2"/>
  <c r="E14" i="2"/>
  <c r="B50" i="2"/>
  <c r="B8" i="2"/>
  <c r="C8" i="2" s="1"/>
  <c r="D8" i="2" s="1"/>
  <c r="B7" i="2"/>
  <c r="B5" i="2"/>
  <c r="C5" i="2" s="1"/>
  <c r="D5" i="2" s="1"/>
  <c r="C7" i="2"/>
  <c r="D7" i="2"/>
  <c r="G18" i="2"/>
  <c r="B24" i="2"/>
  <c r="B25" i="2"/>
  <c r="B27" i="2"/>
  <c r="B29" i="2"/>
  <c r="B40" i="2"/>
  <c r="B41" i="2"/>
  <c r="B35" i="2" l="1"/>
  <c r="D24" i="4"/>
  <c r="Q2" i="6"/>
  <c r="Q3" i="6"/>
  <c r="Q4" i="6"/>
  <c r="Q5" i="6"/>
  <c r="Q6" i="6"/>
  <c r="Q7" i="6"/>
  <c r="E15" i="2"/>
  <c r="E17" i="2"/>
  <c r="F17" i="2"/>
  <c r="G17" i="2" s="1"/>
  <c r="D38" i="4"/>
  <c r="F19" i="2"/>
  <c r="G19" i="2" s="1"/>
  <c r="B46" i="2" s="1"/>
  <c r="D41" i="4" s="1"/>
  <c r="F15" i="2"/>
  <c r="G15" i="2" s="1"/>
  <c r="F16" i="2"/>
  <c r="G16" i="2" s="1"/>
  <c r="B52" i="2"/>
  <c r="D49" i="4" s="1"/>
  <c r="G7" i="4"/>
  <c r="B16" i="2" l="1"/>
  <c r="C16" i="2" s="1"/>
  <c r="D16" i="2" s="1"/>
  <c r="B19" i="2"/>
  <c r="C19" i="2" s="1"/>
  <c r="D19" i="2" s="1"/>
  <c r="B36" i="2" s="1"/>
  <c r="D28" i="4" s="1"/>
  <c r="B17" i="2"/>
  <c r="C17" i="2" s="1"/>
  <c r="D17" i="2" s="1"/>
  <c r="B18" i="2"/>
  <c r="C18" i="2" s="1"/>
  <c r="D18" i="2" s="1"/>
  <c r="B14" i="2"/>
  <c r="C14" i="2" s="1"/>
  <c r="D14" i="2" s="1"/>
  <c r="B15" i="2"/>
  <c r="C15" i="2" s="1"/>
  <c r="D15" i="2" s="1"/>
  <c r="D25" i="4"/>
</calcChain>
</file>

<file path=xl/sharedStrings.xml><?xml version="1.0" encoding="utf-8"?>
<sst xmlns="http://schemas.openxmlformats.org/spreadsheetml/2006/main" count="210" uniqueCount="129">
  <si>
    <t>α</t>
  </si>
  <si>
    <t>l</t>
  </si>
  <si>
    <t>n</t>
  </si>
  <si>
    <t>pF</t>
  </si>
  <si>
    <r>
      <t>K</t>
    </r>
    <r>
      <rPr>
        <vertAlign val="subscript"/>
        <sz val="10"/>
        <rFont val="Arial"/>
        <family val="2"/>
      </rPr>
      <t>s</t>
    </r>
  </si>
  <si>
    <r>
      <t>θ</t>
    </r>
    <r>
      <rPr>
        <vertAlign val="subscript"/>
        <sz val="10"/>
        <rFont val="Arial"/>
        <family val="2"/>
      </rPr>
      <t>r</t>
    </r>
  </si>
  <si>
    <r>
      <t>θ</t>
    </r>
    <r>
      <rPr>
        <vertAlign val="subscript"/>
        <sz val="10"/>
        <rFont val="Arial"/>
        <family val="2"/>
      </rPr>
      <t>s</t>
    </r>
  </si>
  <si>
    <r>
      <t>p</t>
    </r>
    <r>
      <rPr>
        <i/>
        <sz val="10"/>
        <rFont val="Arial"/>
        <family val="2"/>
      </rPr>
      <t>F</t>
    </r>
  </si>
  <si>
    <r>
      <t>h</t>
    </r>
    <r>
      <rPr>
        <sz val="10"/>
        <rFont val="Arial"/>
      </rPr>
      <t xml:space="preserve"> (cm)</t>
    </r>
  </si>
  <si>
    <r>
      <t>θ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h</t>
    </r>
    <r>
      <rPr>
        <sz val="10"/>
        <rFont val="Arial"/>
        <family val="2"/>
      </rPr>
      <t>)</t>
    </r>
  </si>
  <si>
    <t>&lt; 2 µm</t>
  </si>
  <si>
    <t>min</t>
  </si>
  <si>
    <t>max</t>
  </si>
  <si>
    <t>% silt (2-50 µm)</t>
  </si>
  <si>
    <r>
      <t xml:space="preserve">Wösten </t>
    </r>
    <r>
      <rPr>
        <i/>
        <sz val="10"/>
        <rFont val="Arial"/>
        <family val="2"/>
      </rPr>
      <t>et al</t>
    </r>
    <r>
      <rPr>
        <sz val="10"/>
        <rFont val="Arial"/>
      </rPr>
      <t>., 1999. Geoderma 90: 169-185.</t>
    </r>
  </si>
  <si>
    <t>Coarse</t>
  </si>
  <si>
    <t>Medium</t>
  </si>
  <si>
    <t>Medium fine</t>
  </si>
  <si>
    <t>Fine</t>
  </si>
  <si>
    <t>Very Fine</t>
  </si>
  <si>
    <t>Organic</t>
  </si>
  <si>
    <t>sand (%)</t>
  </si>
  <si>
    <t>&gt; 50 µm</t>
  </si>
  <si>
    <t>Clay (%)</t>
  </si>
  <si>
    <t>%</t>
  </si>
  <si>
    <r>
      <t>θ</t>
    </r>
    <r>
      <rPr>
        <sz val="10"/>
        <rFont val="Arial"/>
        <family val="2"/>
      </rPr>
      <t/>
    </r>
  </si>
  <si>
    <r>
      <t>|h|</t>
    </r>
    <r>
      <rPr>
        <sz val="10"/>
        <rFont val="Arial"/>
      </rPr>
      <t xml:space="preserve"> (</t>
    </r>
    <r>
      <rPr>
        <i/>
        <sz val="10"/>
        <rFont val="Arial"/>
        <family val="2"/>
      </rPr>
      <t>θ</t>
    </r>
    <r>
      <rPr>
        <sz val="10"/>
        <rFont val="Arial"/>
      </rPr>
      <t>) (cm)</t>
    </r>
  </si>
  <si>
    <t>MWHC</t>
  </si>
  <si>
    <t>kg.dm-3</t>
  </si>
  <si>
    <t>MWHC (v/v)</t>
  </si>
  <si>
    <r>
      <t xml:space="preserve">If reported: enter the bulk density of </t>
    </r>
    <r>
      <rPr>
        <i/>
        <sz val="10"/>
        <rFont val="Arial"/>
        <family val="2"/>
      </rPr>
      <t>dry</t>
    </r>
    <r>
      <rPr>
        <sz val="10"/>
        <rFont val="Arial"/>
      </rPr>
      <t xml:space="preserve"> soil.</t>
    </r>
  </si>
  <si>
    <t>Bulk density dry soil</t>
  </si>
  <si>
    <t>% of MWHC</t>
  </si>
  <si>
    <t>Enter the % of MWHC to which the soil is moistened.</t>
  </si>
  <si>
    <t>In case MWHC in m/m</t>
  </si>
  <si>
    <t>% sand (&gt; 50 µm)</t>
  </si>
  <si>
    <t>% clay (&lt;2 µm)</t>
  </si>
  <si>
    <t>% organic matter</t>
  </si>
  <si>
    <t>Soiltype HYPRES</t>
  </si>
  <si>
    <t>Input</t>
  </si>
  <si>
    <t>Output</t>
  </si>
  <si>
    <r>
      <t xml:space="preserve">Moisture content, </t>
    </r>
    <r>
      <rPr>
        <i/>
        <sz val="10"/>
        <rFont val="Arial"/>
        <family val="2"/>
      </rPr>
      <t>θ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h</t>
    </r>
    <r>
      <rPr>
        <sz val="10"/>
        <rFont val="Arial"/>
        <family val="2"/>
      </rPr>
      <t>)</t>
    </r>
  </si>
  <si>
    <t>sum</t>
  </si>
  <si>
    <r>
      <t>θ</t>
    </r>
    <r>
      <rPr>
        <vertAlign val="subscript"/>
        <sz val="10"/>
        <rFont val="Arial"/>
        <family val="2"/>
      </rPr>
      <t>act</t>
    </r>
  </si>
  <si>
    <t>Actual moisture content in testsoil.</t>
  </si>
  <si>
    <r>
      <t>pF at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θ</t>
    </r>
    <r>
      <rPr>
        <vertAlign val="subscript"/>
        <sz val="10"/>
        <rFont val="Arial"/>
        <family val="2"/>
      </rPr>
      <t>act</t>
    </r>
  </si>
  <si>
    <t>Intermediate result</t>
  </si>
  <si>
    <t>RHO_default</t>
  </si>
  <si>
    <t>default bulk density of dry soil.</t>
  </si>
  <si>
    <r>
      <t xml:space="preserve">pF at </t>
    </r>
    <r>
      <rPr>
        <i/>
        <sz val="10"/>
        <rFont val="Arial"/>
        <family val="2"/>
      </rPr>
      <t>θ</t>
    </r>
    <r>
      <rPr>
        <vertAlign val="subscript"/>
        <sz val="10"/>
        <rFont val="Arial"/>
        <family val="2"/>
      </rPr>
      <t>act</t>
    </r>
  </si>
  <si>
    <t>RHO_act</t>
  </si>
  <si>
    <t>v/v</t>
  </si>
  <si>
    <t>Declaration of lists</t>
  </si>
  <si>
    <t>% of MWHC to which the soil is moistened.</t>
  </si>
  <si>
    <t>Field capacity</t>
  </si>
  <si>
    <r>
      <t>pF</t>
    </r>
    <r>
      <rPr>
        <sz val="10"/>
        <rFont val="Arial"/>
        <family val="2"/>
      </rPr>
      <t xml:space="preserve"> at 75% of </t>
    </r>
    <r>
      <rPr>
        <i/>
        <sz val="10"/>
        <rFont val="Arial"/>
        <family val="2"/>
      </rPr>
      <t>θ</t>
    </r>
    <r>
      <rPr>
        <vertAlign val="subscript"/>
        <sz val="10"/>
        <rFont val="Arial"/>
        <family val="2"/>
      </rPr>
      <t>fc</t>
    </r>
  </si>
  <si>
    <r>
      <t>θ</t>
    </r>
    <r>
      <rPr>
        <vertAlign val="subscript"/>
        <sz val="10"/>
        <rFont val="Arial"/>
        <family val="2"/>
      </rPr>
      <t>fc input</t>
    </r>
  </si>
  <si>
    <r>
      <t>0.75</t>
    </r>
    <r>
      <rPr>
        <i/>
        <sz val="10"/>
        <rFont val="Arial"/>
        <family val="2"/>
      </rPr>
      <t>*θ</t>
    </r>
    <r>
      <rPr>
        <vertAlign val="subscript"/>
        <sz val="10"/>
        <rFont val="Arial"/>
        <family val="2"/>
      </rPr>
      <t>fc input</t>
    </r>
  </si>
  <si>
    <t>pF 0.75FC</t>
  </si>
  <si>
    <t>MWHC_fraction</t>
  </si>
  <si>
    <t>MWHC_input</t>
  </si>
  <si>
    <t>2. Calculation of pF at applied moisture content.</t>
  </si>
  <si>
    <t>3. Calculation of pF at 75% of field capacity.</t>
  </si>
  <si>
    <t>4. Calculation of moisture content, θ(h), at given pF.</t>
  </si>
  <si>
    <r>
      <t>Actual moisture content (</t>
    </r>
    <r>
      <rPr>
        <i/>
        <sz val="10"/>
        <color indexed="23"/>
        <rFont val="Arial"/>
        <family val="2"/>
      </rPr>
      <t>θ</t>
    </r>
    <r>
      <rPr>
        <vertAlign val="subscript"/>
        <sz val="10"/>
        <color indexed="23"/>
        <rFont val="Arial"/>
        <family val="2"/>
      </rPr>
      <t>act</t>
    </r>
    <r>
      <rPr>
        <sz val="10"/>
        <color indexed="23"/>
        <rFont val="Arial"/>
        <family val="2"/>
      </rPr>
      <t>)</t>
    </r>
  </si>
  <si>
    <t>Enter value if available, clear cell if unavailable.</t>
  </si>
  <si>
    <t>(The soil dry bulk density is not generally reported)</t>
  </si>
  <si>
    <t>◄</t>
  </si>
  <si>
    <r>
      <t>θ</t>
    </r>
    <r>
      <rPr>
        <vertAlign val="subscript"/>
        <sz val="10"/>
        <rFont val="Arial"/>
        <family val="2"/>
      </rPr>
      <t>fc</t>
    </r>
    <r>
      <rPr>
        <sz val="10"/>
        <rFont val="Arial"/>
      </rPr>
      <t>_input</t>
    </r>
  </si>
  <si>
    <r>
      <t>θ</t>
    </r>
    <r>
      <rPr>
        <vertAlign val="subscript"/>
        <sz val="10"/>
        <rFont val="Arial"/>
        <family val="2"/>
      </rPr>
      <t>fc</t>
    </r>
    <r>
      <rPr>
        <sz val="10"/>
        <rFont val="Arial"/>
      </rPr>
      <t>_fraction</t>
    </r>
  </si>
  <si>
    <r>
      <t>pF</t>
    </r>
    <r>
      <rPr>
        <sz val="10"/>
        <rFont val="Arial"/>
        <family val="2"/>
      </rPr>
      <t xml:space="preserve"> at 75% of </t>
    </r>
    <r>
      <rPr>
        <i/>
        <sz val="10"/>
        <rFont val="Arial"/>
        <family val="2"/>
      </rPr>
      <t>θ</t>
    </r>
    <r>
      <rPr>
        <vertAlign val="subscript"/>
        <sz val="10"/>
        <rFont val="Arial"/>
        <family val="2"/>
      </rPr>
      <t>fc_act</t>
    </r>
  </si>
  <si>
    <r>
      <t>θ</t>
    </r>
    <r>
      <rPr>
        <vertAlign val="subscript"/>
        <sz val="10"/>
        <rFont val="Arial"/>
        <family val="2"/>
      </rPr>
      <t>fc_act</t>
    </r>
    <r>
      <rPr>
        <sz val="10"/>
        <rFont val="Arial"/>
        <family val="2"/>
      </rPr>
      <t xml:space="preserve"> (v/v)</t>
    </r>
  </si>
  <si>
    <r>
      <t>Actual moisture content at p</t>
    </r>
    <r>
      <rPr>
        <i/>
        <sz val="10"/>
        <color indexed="23"/>
        <rFont val="Arial"/>
        <family val="2"/>
      </rPr>
      <t>F</t>
    </r>
    <r>
      <rPr>
        <sz val="10"/>
        <color indexed="23"/>
        <rFont val="Arial"/>
        <family val="2"/>
      </rPr>
      <t xml:space="preserve"> (</t>
    </r>
    <r>
      <rPr>
        <i/>
        <sz val="10"/>
        <color indexed="23"/>
        <rFont val="Arial"/>
        <family val="2"/>
      </rPr>
      <t>θ</t>
    </r>
    <r>
      <rPr>
        <i/>
        <vertAlign val="subscript"/>
        <sz val="10"/>
        <color indexed="23"/>
        <rFont val="Arial"/>
        <family val="2"/>
      </rPr>
      <t>fc_</t>
    </r>
    <r>
      <rPr>
        <vertAlign val="subscript"/>
        <sz val="10"/>
        <color indexed="23"/>
        <rFont val="Arial"/>
        <family val="2"/>
      </rPr>
      <t>act</t>
    </r>
    <r>
      <rPr>
        <sz val="10"/>
        <color indexed="23"/>
        <rFont val="Arial"/>
        <family val="2"/>
      </rPr>
      <t>)</t>
    </r>
  </si>
  <si>
    <r>
      <t>Actual moisture content at ¾p</t>
    </r>
    <r>
      <rPr>
        <i/>
        <sz val="10"/>
        <color indexed="23"/>
        <rFont val="Arial"/>
        <family val="2"/>
      </rPr>
      <t>F</t>
    </r>
    <r>
      <rPr>
        <sz val="10"/>
        <color indexed="23"/>
        <rFont val="Arial"/>
        <family val="2"/>
      </rPr>
      <t/>
    </r>
  </si>
  <si>
    <r>
      <t>0.75</t>
    </r>
    <r>
      <rPr>
        <i/>
        <sz val="10"/>
        <rFont val="Arial"/>
        <family val="2"/>
      </rPr>
      <t>θ</t>
    </r>
    <r>
      <rPr>
        <vertAlign val="subscript"/>
        <sz val="10"/>
        <rFont val="Arial"/>
        <family val="2"/>
      </rPr>
      <t>fc_act</t>
    </r>
  </si>
  <si>
    <t>Soil type-selection</t>
  </si>
  <si>
    <t>In this application, the following precondition was chosen in order to classify %sand, silt and clay in the texture classes:</t>
  </si>
  <si>
    <r>
      <t xml:space="preserve">A class </t>
    </r>
    <r>
      <rPr>
        <i/>
        <sz val="10"/>
        <rFont val="Arial"/>
        <family val="2"/>
      </rPr>
      <t>limit</t>
    </r>
    <r>
      <rPr>
        <sz val="10"/>
        <rFont val="Arial"/>
      </rPr>
      <t xml:space="preserve"> can contain values in case it is the lower limit of a class,</t>
    </r>
  </si>
  <si>
    <t>with the exception of upper class limits (e.g. 100%), which can always contain a value.</t>
  </si>
  <si>
    <t>Example. Class limits for "Coarse":  0 ≤ %clay &lt; 18 and "Medium" 18 ≤ %clay &lt; 35.</t>
  </si>
  <si>
    <t>SoiltypeHYPRES</t>
  </si>
  <si>
    <r>
      <t>Inverse of the class-transfer functions: |</t>
    </r>
    <r>
      <rPr>
        <i/>
        <sz val="10"/>
        <rFont val="Arial"/>
        <family val="2"/>
      </rPr>
      <t>h</t>
    </r>
    <r>
      <rPr>
        <sz val="10"/>
        <rFont val="Arial"/>
      </rPr>
      <t xml:space="preserve">| as a function of </t>
    </r>
    <r>
      <rPr>
        <i/>
        <sz val="10"/>
        <rFont val="Arial"/>
        <family val="2"/>
      </rPr>
      <t>θ.</t>
    </r>
  </si>
  <si>
    <t>Class-transfer functions for topsoils (Table 4 from above reference).</t>
  </si>
  <si>
    <t>Calculation</t>
  </si>
  <si>
    <t>Soiltype</t>
  </si>
  <si>
    <t>Input texture</t>
  </si>
  <si>
    <t>%silt</t>
  </si>
  <si>
    <t>%organic matter</t>
  </si>
  <si>
    <t>%sand</t>
  </si>
  <si>
    <t>%clay</t>
  </si>
  <si>
    <t>Sum</t>
  </si>
  <si>
    <r>
      <t xml:space="preserve">Selected </t>
    </r>
    <r>
      <rPr>
        <i/>
        <sz val="10"/>
        <rFont val="Arial"/>
        <family val="2"/>
      </rPr>
      <t>θ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h</t>
    </r>
    <r>
      <rPr>
        <sz val="10"/>
        <rFont val="Arial"/>
        <family val="2"/>
      </rPr>
      <t>)</t>
    </r>
  </si>
  <si>
    <r>
      <t>kg.dm</t>
    </r>
    <r>
      <rPr>
        <vertAlign val="superscript"/>
        <sz val="10"/>
        <rFont val="Arial"/>
        <family val="2"/>
      </rPr>
      <t>-3</t>
    </r>
  </si>
  <si>
    <r>
      <t>Select at which p</t>
    </r>
    <r>
      <rPr>
        <i/>
        <sz val="10"/>
        <color indexed="62"/>
        <rFont val="Arial"/>
        <family val="2"/>
      </rPr>
      <t>F</t>
    </r>
    <r>
      <rPr>
        <sz val="10"/>
        <color indexed="62"/>
        <rFont val="Arial"/>
        <family val="2"/>
      </rPr>
      <t xml:space="preserve"> value the MWHC has been determined.</t>
    </r>
  </si>
  <si>
    <t>Volumetric or gravimetric MWHC?</t>
  </si>
  <si>
    <t>pF value at which MWHC is determined</t>
  </si>
  <si>
    <t>pF 0</t>
  </si>
  <si>
    <r>
      <t>p</t>
    </r>
    <r>
      <rPr>
        <i/>
        <sz val="10"/>
        <rFont val="Arial"/>
        <family val="2"/>
      </rPr>
      <t>F</t>
    </r>
    <r>
      <rPr>
        <sz val="10"/>
        <rFont val="Arial"/>
      </rPr>
      <t xml:space="preserve"> 0</t>
    </r>
  </si>
  <si>
    <r>
      <t>p</t>
    </r>
    <r>
      <rPr>
        <i/>
        <sz val="10"/>
        <rFont val="Arial"/>
        <family val="2"/>
      </rPr>
      <t>F</t>
    </r>
    <r>
      <rPr>
        <sz val="10"/>
        <rFont val="Arial"/>
      </rPr>
      <t xml:space="preserve"> 1</t>
    </r>
  </si>
  <si>
    <r>
      <t>p</t>
    </r>
    <r>
      <rPr>
        <i/>
        <sz val="10"/>
        <rFont val="Arial"/>
        <family val="2"/>
      </rPr>
      <t>F</t>
    </r>
    <r>
      <rPr>
        <sz val="10"/>
        <rFont val="Arial"/>
      </rPr>
      <t xml:space="preserve"> 2</t>
    </r>
  </si>
  <si>
    <t>Volumetric or gravimetric FC?</t>
  </si>
  <si>
    <r>
      <t>MWHC at p</t>
    </r>
    <r>
      <rPr>
        <i/>
        <sz val="10"/>
        <color indexed="23"/>
        <rFont val="Arial"/>
        <family val="2"/>
      </rPr>
      <t>F</t>
    </r>
    <r>
      <rPr>
        <sz val="10"/>
        <color indexed="23"/>
        <rFont val="Arial"/>
        <family val="2"/>
      </rPr>
      <t xml:space="preserve"> 0</t>
    </r>
  </si>
  <si>
    <r>
      <t>v</t>
    </r>
    <r>
      <rPr>
        <sz val="10"/>
        <color indexed="23"/>
        <rFont val="Arial"/>
        <family val="2"/>
      </rPr>
      <t>/</t>
    </r>
    <r>
      <rPr>
        <i/>
        <sz val="10"/>
        <color indexed="23"/>
        <rFont val="Arial"/>
        <family val="2"/>
      </rPr>
      <t>v</t>
    </r>
  </si>
  <si>
    <r>
      <t>θ</t>
    </r>
    <r>
      <rPr>
        <vertAlign val="subscript"/>
        <sz val="10"/>
        <rFont val="Arial"/>
        <family val="2"/>
      </rPr>
      <t>pF0</t>
    </r>
  </si>
  <si>
    <r>
      <t>θ</t>
    </r>
    <r>
      <rPr>
        <vertAlign val="subscript"/>
        <sz val="10"/>
        <rFont val="Arial"/>
        <family val="2"/>
      </rPr>
      <t>pF1</t>
    </r>
  </si>
  <si>
    <r>
      <t>θ</t>
    </r>
    <r>
      <rPr>
        <vertAlign val="subscript"/>
        <sz val="10"/>
        <rFont val="Arial"/>
        <family val="2"/>
      </rPr>
      <t>pF2</t>
    </r>
  </si>
  <si>
    <r>
      <t>θ</t>
    </r>
    <r>
      <rPr>
        <vertAlign val="subscript"/>
        <sz val="10"/>
        <rFont val="Arial"/>
        <family val="2"/>
      </rPr>
      <t>pF0/</t>
    </r>
    <r>
      <rPr>
        <i/>
        <sz val="10"/>
        <rFont val="Arial"/>
        <family val="2"/>
      </rPr>
      <t>θ</t>
    </r>
    <r>
      <rPr>
        <vertAlign val="subscript"/>
        <sz val="10"/>
        <rFont val="Arial"/>
        <family val="2"/>
      </rPr>
      <t>pF1</t>
    </r>
  </si>
  <si>
    <r>
      <t>θ</t>
    </r>
    <r>
      <rPr>
        <vertAlign val="subscript"/>
        <sz val="10"/>
        <rFont val="Arial"/>
        <family val="2"/>
      </rPr>
      <t>pF0/</t>
    </r>
    <r>
      <rPr>
        <i/>
        <sz val="10"/>
        <rFont val="Arial"/>
        <family val="2"/>
      </rPr>
      <t>θ</t>
    </r>
    <r>
      <rPr>
        <vertAlign val="subscript"/>
        <sz val="10"/>
        <rFont val="Arial"/>
        <family val="2"/>
      </rPr>
      <t>pF2</t>
    </r>
  </si>
  <si>
    <t>pF at MWHC</t>
  </si>
  <si>
    <t>List box for pF at which MWHC was determined.</t>
  </si>
  <si>
    <t>Correction factor MWHC</t>
  </si>
  <si>
    <t>MWHC (v/v)_at_pF0</t>
  </si>
  <si>
    <t>Final' MWHC in v/v and corrected for the pF at which it was determined</t>
  </si>
  <si>
    <t>To correct for the pF at which pF is determined; Is read from sheet 'Correction MWHC'.</t>
  </si>
  <si>
    <t>MWHC in v/v or m/m?</t>
  </si>
  <si>
    <t>FC in v/v or m/m?</t>
  </si>
  <si>
    <t>1. Assignment of HYPRES soil texture class (topsoils) to testsoil.</t>
  </si>
  <si>
    <t>Soil texture class</t>
  </si>
  <si>
    <t>w/w</t>
  </si>
  <si>
    <r>
      <t xml:space="preserve">Select whether field capacity is given on a </t>
    </r>
    <r>
      <rPr>
        <i/>
        <sz val="10"/>
        <color indexed="62"/>
        <rFont val="Arial"/>
        <family val="2"/>
      </rPr>
      <t>v</t>
    </r>
    <r>
      <rPr>
        <sz val="10"/>
        <color indexed="62"/>
        <rFont val="Arial"/>
        <family val="2"/>
      </rPr>
      <t>/</t>
    </r>
    <r>
      <rPr>
        <i/>
        <sz val="10"/>
        <color indexed="62"/>
        <rFont val="Arial"/>
        <family val="2"/>
      </rPr>
      <t>v</t>
    </r>
    <r>
      <rPr>
        <sz val="10"/>
        <color indexed="62"/>
        <rFont val="Arial"/>
        <family val="2"/>
      </rPr>
      <t xml:space="preserve"> basis or on a </t>
    </r>
    <r>
      <rPr>
        <i/>
        <sz val="10"/>
        <color indexed="62"/>
        <rFont val="Arial"/>
        <family val="2"/>
      </rPr>
      <t>w</t>
    </r>
    <r>
      <rPr>
        <sz val="10"/>
        <color indexed="62"/>
        <rFont val="Arial"/>
        <family val="2"/>
      </rPr>
      <t>/w basis.</t>
    </r>
  </si>
  <si>
    <r>
      <t xml:space="preserve">Select </t>
    </r>
    <r>
      <rPr>
        <sz val="10"/>
        <color indexed="62"/>
        <rFont val="Arial"/>
        <family val="2"/>
      </rPr>
      <t xml:space="preserve">whether MWHC is entered on a </t>
    </r>
    <r>
      <rPr>
        <i/>
        <sz val="10"/>
        <color indexed="62"/>
        <rFont val="Arial"/>
        <family val="2"/>
      </rPr>
      <t>v</t>
    </r>
    <r>
      <rPr>
        <sz val="10"/>
        <color indexed="62"/>
        <rFont val="Arial"/>
        <family val="2"/>
      </rPr>
      <t>/</t>
    </r>
    <r>
      <rPr>
        <i/>
        <sz val="10"/>
        <color indexed="62"/>
        <rFont val="Arial"/>
        <family val="2"/>
      </rPr>
      <t>v</t>
    </r>
    <r>
      <rPr>
        <sz val="10"/>
        <color indexed="62"/>
        <rFont val="Arial"/>
        <family val="2"/>
      </rPr>
      <t xml:space="preserve"> basis or on a </t>
    </r>
    <r>
      <rPr>
        <i/>
        <sz val="10"/>
        <color indexed="62"/>
        <rFont val="Arial"/>
        <family val="2"/>
      </rPr>
      <t>w</t>
    </r>
    <r>
      <rPr>
        <sz val="10"/>
        <color indexed="62"/>
        <rFont val="Arial"/>
        <family val="2"/>
      </rPr>
      <t>/</t>
    </r>
    <r>
      <rPr>
        <i/>
        <sz val="10"/>
        <color indexed="62"/>
        <rFont val="Arial"/>
        <family val="2"/>
      </rPr>
      <t>w</t>
    </r>
    <r>
      <rPr>
        <sz val="10"/>
        <color indexed="62"/>
        <rFont val="Arial"/>
        <family val="2"/>
      </rPr>
      <t xml:space="preserve"> basis.</t>
    </r>
  </si>
  <si>
    <t>List box for v/v or w/w</t>
  </si>
  <si>
    <t>0</t>
  </si>
  <si>
    <t>60</t>
  </si>
  <si>
    <t>o.m. (%)</t>
  </si>
  <si>
    <t>Classification according to texture following HYPRES (Wösten et al. (1999), Geoderma 90: 169-185 and Wösten et al. (1998) DLO-Staring Centre report 156).</t>
  </si>
  <si>
    <t>Assignment of soil class Organic is implemented as defined in DLO-Staring Centre report 156, section 3.2 and figure 9.</t>
  </si>
  <si>
    <t>Soil are first classified on being Organic (based on %clay and %o.m.) or mineral. Mineral soils are further distinguished on basis of %clay and %sand.</t>
  </si>
  <si>
    <t>SumError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</si>
</sst>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1" formatCode="_-* #,##0.00_-;_-* #,##0.00\-;_-* &quot;-&quot;??_-;_-@_-"/>
    <numFmt numFmtId="172" formatCode="0.0000"/>
    <numFmt numFmtId="173" formatCode="0.000"/>
    <numFmt numFmtId="174" formatCode="0.00000"/>
    <numFmt numFmtId="177" formatCode="0.0"/>
    <numFmt numFmtId="180" formatCode="_-* #,##0.0000_-;_-* #,##0.0000\-;_-* &quot;-&quot;??_-;_-@_-"/>
  </numFmts>
  <fonts count="25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vertAlign val="subscript"/>
      <sz val="10"/>
      <name val="Arial"/>
      <family val="2"/>
    </font>
    <font>
      <sz val="10"/>
      <name val="Arial"/>
      <family val="2"/>
    </font>
    <font>
      <sz val="10"/>
      <color indexed="17"/>
      <name val="Arial"/>
      <family val="2"/>
    </font>
    <font>
      <b/>
      <i/>
      <sz val="10"/>
      <name val="Arial"/>
      <family val="2"/>
    </font>
    <font>
      <b/>
      <sz val="10"/>
      <color indexed="53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i/>
      <sz val="10"/>
      <color indexed="23"/>
      <name val="Arial"/>
      <family val="2"/>
    </font>
    <font>
      <vertAlign val="subscript"/>
      <sz val="10"/>
      <color indexed="23"/>
      <name val="Arial"/>
      <family val="2"/>
    </font>
    <font>
      <i/>
      <sz val="10"/>
      <color indexed="12"/>
      <name val="Arial"/>
      <family val="2"/>
    </font>
    <font>
      <sz val="10"/>
      <color indexed="23"/>
      <name val="Arial"/>
      <family val="2"/>
    </font>
    <font>
      <b/>
      <sz val="10"/>
      <color indexed="43"/>
      <name val="Arial"/>
      <family val="2"/>
    </font>
    <font>
      <sz val="10"/>
      <color indexed="53"/>
      <name val="Arial"/>
      <family val="2"/>
    </font>
    <font>
      <sz val="10"/>
      <color indexed="62"/>
      <name val="Arial"/>
      <family val="2"/>
    </font>
    <font>
      <u/>
      <sz val="10"/>
      <color indexed="62"/>
      <name val="Arial"/>
      <family val="2"/>
    </font>
    <font>
      <i/>
      <vertAlign val="subscript"/>
      <sz val="10"/>
      <color indexed="23"/>
      <name val="Arial"/>
      <family val="2"/>
    </font>
    <font>
      <i/>
      <sz val="10"/>
      <color indexed="62"/>
      <name val="Arial"/>
      <family val="2"/>
    </font>
    <font>
      <sz val="10"/>
      <color indexed="62"/>
      <name val="Arial"/>
      <family val="2"/>
    </font>
    <font>
      <vertAlign val="superscript"/>
      <sz val="10"/>
      <name val="Arial"/>
      <family val="2"/>
    </font>
    <font>
      <sz val="10"/>
      <color indexed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/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71" fontId="1" fillId="0" borderId="0" applyFont="0" applyFill="0" applyBorder="0" applyAlignment="0" applyProtection="0"/>
  </cellStyleXfs>
  <cellXfs count="138">
    <xf numFmtId="0" fontId="0" fillId="0" borderId="0" xfId="0"/>
    <xf numFmtId="0" fontId="0" fillId="0" borderId="0" xfId="0" applyProtection="1"/>
    <xf numFmtId="0" fontId="0" fillId="2" borderId="0" xfId="0" applyFill="1" applyBorder="1" applyProtection="1"/>
    <xf numFmtId="0" fontId="0" fillId="0" borderId="0" xfId="0" applyAlignment="1" applyProtection="1">
      <alignment horizontal="center"/>
    </xf>
    <xf numFmtId="0" fontId="0" fillId="2" borderId="0" xfId="0" applyFill="1" applyProtection="1"/>
    <xf numFmtId="0" fontId="0" fillId="3" borderId="1" xfId="0" applyFill="1" applyBorder="1" applyAlignment="1" applyProtection="1">
      <alignment horizontal="center"/>
    </xf>
    <xf numFmtId="0" fontId="0" fillId="0" borderId="0" xfId="0" applyNumberFormat="1" applyProtection="1"/>
    <xf numFmtId="0" fontId="7" fillId="0" borderId="0" xfId="0" applyNumberFormat="1" applyFont="1" applyProtection="1"/>
    <xf numFmtId="0" fontId="0" fillId="3" borderId="2" xfId="0" applyFill="1" applyBorder="1" applyAlignment="1" applyProtection="1">
      <alignment horizontal="center"/>
    </xf>
    <xf numFmtId="0" fontId="0" fillId="3" borderId="3" xfId="0" applyFill="1" applyBorder="1" applyProtection="1"/>
    <xf numFmtId="0" fontId="0" fillId="0" borderId="0" xfId="0" applyFill="1" applyBorder="1" applyAlignment="1" applyProtection="1">
      <alignment horizontal="left"/>
    </xf>
    <xf numFmtId="2" fontId="6" fillId="0" borderId="0" xfId="0" applyNumberFormat="1" applyFont="1" applyFill="1" applyBorder="1" applyAlignment="1" applyProtection="1">
      <alignment horizontal="left"/>
    </xf>
    <xf numFmtId="0" fontId="6" fillId="3" borderId="4" xfId="0" applyFont="1" applyFill="1" applyBorder="1" applyAlignment="1" applyProtection="1">
      <alignment horizontal="left"/>
    </xf>
    <xf numFmtId="0" fontId="0" fillId="3" borderId="5" xfId="0" applyFill="1" applyBorder="1" applyAlignment="1" applyProtection="1">
      <alignment horizontal="left"/>
    </xf>
    <xf numFmtId="0" fontId="0" fillId="3" borderId="6" xfId="0" applyFill="1" applyBorder="1" applyAlignment="1" applyProtection="1">
      <alignment horizontal="left"/>
    </xf>
    <xf numFmtId="49" fontId="1" fillId="2" borderId="6" xfId="0" applyNumberFormat="1" applyFont="1" applyFill="1" applyBorder="1" applyAlignment="1" applyProtection="1">
      <alignment horizontal="center"/>
    </xf>
    <xf numFmtId="0" fontId="0" fillId="2" borderId="3" xfId="0" applyFill="1" applyBorder="1" applyAlignment="1" applyProtection="1">
      <alignment horizontal="center"/>
    </xf>
    <xf numFmtId="0" fontId="0" fillId="2" borderId="7" xfId="0" applyFill="1" applyBorder="1" applyProtection="1"/>
    <xf numFmtId="0" fontId="1" fillId="2" borderId="3" xfId="0" applyNumberFormat="1" applyFont="1" applyFill="1" applyBorder="1" applyAlignment="1" applyProtection="1">
      <alignment horizontal="center"/>
    </xf>
    <xf numFmtId="49" fontId="1" fillId="3" borderId="4" xfId="0" applyNumberFormat="1" applyFont="1" applyFill="1" applyBorder="1" applyAlignment="1" applyProtection="1">
      <alignment horizontal="center"/>
    </xf>
    <xf numFmtId="0" fontId="1" fillId="3" borderId="1" xfId="0" applyNumberFormat="1" applyFont="1" applyFill="1" applyBorder="1" applyAlignment="1" applyProtection="1">
      <alignment horizontal="center"/>
    </xf>
    <xf numFmtId="49" fontId="1" fillId="3" borderId="5" xfId="0" applyNumberFormat="1" applyFont="1" applyFill="1" applyBorder="1" applyAlignment="1" applyProtection="1">
      <alignment horizontal="center"/>
    </xf>
    <xf numFmtId="0" fontId="1" fillId="3" borderId="2" xfId="0" applyNumberFormat="1" applyFont="1" applyFill="1" applyBorder="1" applyAlignment="1" applyProtection="1">
      <alignment horizontal="center"/>
    </xf>
    <xf numFmtId="49" fontId="0" fillId="3" borderId="6" xfId="0" applyNumberFormat="1" applyFill="1" applyBorder="1" applyAlignment="1" applyProtection="1">
      <alignment horizontal="right"/>
    </xf>
    <xf numFmtId="49" fontId="0" fillId="0" borderId="0" xfId="0" applyNumberFormat="1" applyFill="1" applyBorder="1" applyAlignment="1" applyProtection="1">
      <alignment horizontal="right"/>
    </xf>
    <xf numFmtId="0" fontId="0" fillId="0" borderId="0" xfId="0" applyFill="1" applyBorder="1" applyAlignment="1" applyProtection="1">
      <alignment horizontal="right"/>
    </xf>
    <xf numFmtId="0" fontId="0" fillId="0" borderId="0" xfId="0" applyFill="1" applyBorder="1" applyProtection="1"/>
    <xf numFmtId="0" fontId="0" fillId="4" borderId="0" xfId="0" applyFill="1" applyProtection="1"/>
    <xf numFmtId="49" fontId="0" fillId="4" borderId="0" xfId="0" applyNumberFormat="1" applyFill="1" applyProtection="1"/>
    <xf numFmtId="0" fontId="7" fillId="4" borderId="0" xfId="0" applyFont="1" applyFill="1" applyProtection="1"/>
    <xf numFmtId="0" fontId="0" fillId="4" borderId="0" xfId="0" applyFill="1" applyAlignment="1" applyProtection="1">
      <alignment horizontal="center"/>
    </xf>
    <xf numFmtId="49" fontId="0" fillId="4" borderId="0" xfId="0" applyNumberFormat="1" applyFill="1" applyAlignment="1" applyProtection="1">
      <alignment horizontal="center"/>
    </xf>
    <xf numFmtId="0" fontId="0" fillId="4" borderId="0" xfId="0" applyNumberFormat="1" applyFill="1" applyProtection="1"/>
    <xf numFmtId="0" fontId="6" fillId="4" borderId="0" xfId="0" applyFont="1" applyFill="1" applyBorder="1" applyAlignment="1" applyProtection="1">
      <alignment horizontal="left"/>
    </xf>
    <xf numFmtId="0" fontId="0" fillId="4" borderId="0" xfId="0" applyFill="1" applyBorder="1" applyAlignment="1" applyProtection="1">
      <alignment horizontal="left"/>
    </xf>
    <xf numFmtId="0" fontId="4" fillId="4" borderId="0" xfId="0" applyFont="1" applyFill="1" applyBorder="1" applyProtection="1"/>
    <xf numFmtId="0" fontId="7" fillId="4" borderId="0" xfId="0" applyNumberFormat="1" applyFont="1" applyFill="1" applyProtection="1"/>
    <xf numFmtId="0" fontId="0" fillId="4" borderId="0" xfId="0" applyFill="1" applyBorder="1" applyAlignment="1" applyProtection="1">
      <alignment horizontal="center"/>
    </xf>
    <xf numFmtId="0" fontId="0" fillId="4" borderId="0" xfId="0" applyFill="1" applyAlignment="1" applyProtection="1">
      <alignment horizontal="left"/>
    </xf>
    <xf numFmtId="2" fontId="3" fillId="4" borderId="0" xfId="0" applyNumberFormat="1" applyFont="1" applyFill="1" applyBorder="1" applyAlignment="1" applyProtection="1">
      <alignment horizontal="left"/>
    </xf>
    <xf numFmtId="0" fontId="8" fillId="4" borderId="0" xfId="0" applyFont="1" applyFill="1" applyProtection="1"/>
    <xf numFmtId="0" fontId="8" fillId="4" borderId="0" xfId="0" applyFont="1" applyFill="1" applyBorder="1" applyProtection="1"/>
    <xf numFmtId="0" fontId="11" fillId="4" borderId="0" xfId="0" applyFont="1" applyFill="1" applyBorder="1" applyAlignment="1" applyProtection="1">
      <alignment horizontal="center"/>
    </xf>
    <xf numFmtId="0" fontId="0" fillId="4" borderId="8" xfId="0" applyFill="1" applyBorder="1" applyProtection="1"/>
    <xf numFmtId="0" fontId="0" fillId="4" borderId="8" xfId="0" applyFill="1" applyBorder="1" applyAlignment="1" applyProtection="1">
      <alignment horizontal="left"/>
    </xf>
    <xf numFmtId="49" fontId="0" fillId="4" borderId="8" xfId="0" applyNumberFormat="1" applyFill="1" applyBorder="1" applyProtection="1"/>
    <xf numFmtId="0" fontId="0" fillId="4" borderId="9" xfId="0" applyFill="1" applyBorder="1" applyProtection="1"/>
    <xf numFmtId="0" fontId="0" fillId="4" borderId="0" xfId="0" applyFill="1" applyBorder="1" applyProtection="1"/>
    <xf numFmtId="49" fontId="0" fillId="4" borderId="0" xfId="0" applyNumberFormat="1" applyFill="1" applyBorder="1" applyProtection="1"/>
    <xf numFmtId="177" fontId="3" fillId="4" borderId="0" xfId="0" applyNumberFormat="1" applyFont="1" applyFill="1" applyBorder="1" applyAlignment="1" applyProtection="1">
      <alignment horizontal="left"/>
    </xf>
    <xf numFmtId="0" fontId="0" fillId="4" borderId="10" xfId="0" applyFill="1" applyBorder="1" applyProtection="1"/>
    <xf numFmtId="0" fontId="0" fillId="4" borderId="11" xfId="0" applyFill="1" applyBorder="1" applyProtection="1"/>
    <xf numFmtId="0" fontId="0" fillId="4" borderId="11" xfId="0" applyFill="1" applyBorder="1" applyAlignment="1" applyProtection="1">
      <alignment horizontal="left"/>
    </xf>
    <xf numFmtId="49" fontId="0" fillId="4" borderId="11" xfId="0" applyNumberFormat="1" applyFill="1" applyBorder="1" applyProtection="1"/>
    <xf numFmtId="0" fontId="0" fillId="4" borderId="0" xfId="0" applyNumberFormat="1" applyFill="1" applyBorder="1" applyProtection="1"/>
    <xf numFmtId="0" fontId="11" fillId="4" borderId="0" xfId="0" applyFont="1" applyFill="1" applyBorder="1" applyAlignment="1" applyProtection="1">
      <alignment horizontal="left"/>
    </xf>
    <xf numFmtId="49" fontId="0" fillId="4" borderId="0" xfId="0" applyNumberFormat="1" applyFill="1" applyBorder="1" applyAlignment="1" applyProtection="1">
      <alignment horizontal="left"/>
    </xf>
    <xf numFmtId="0" fontId="10" fillId="4" borderId="0" xfId="0" applyFont="1" applyFill="1" applyBorder="1" applyProtection="1"/>
    <xf numFmtId="0" fontId="11" fillId="4" borderId="0" xfId="0" applyFont="1" applyFill="1" applyBorder="1" applyProtection="1"/>
    <xf numFmtId="177" fontId="0" fillId="4" borderId="11" xfId="0" applyNumberFormat="1" applyFill="1" applyBorder="1" applyProtection="1"/>
    <xf numFmtId="177" fontId="0" fillId="4" borderId="11" xfId="0" applyNumberFormat="1" applyFill="1" applyBorder="1" applyAlignment="1" applyProtection="1">
      <alignment horizontal="left"/>
    </xf>
    <xf numFmtId="0" fontId="14" fillId="0" borderId="0" xfId="0" applyFont="1"/>
    <xf numFmtId="0" fontId="14" fillId="0" borderId="0" xfId="0" applyFont="1" applyFill="1" applyBorder="1" applyProtection="1"/>
    <xf numFmtId="177" fontId="3" fillId="4" borderId="11" xfId="0" applyNumberFormat="1" applyFont="1" applyFill="1" applyBorder="1" applyAlignment="1" applyProtection="1">
      <alignment horizontal="center"/>
    </xf>
    <xf numFmtId="177" fontId="3" fillId="4" borderId="11" xfId="0" applyNumberFormat="1" applyFont="1" applyFill="1" applyBorder="1" applyAlignment="1" applyProtection="1">
      <alignment horizontal="left"/>
    </xf>
    <xf numFmtId="0" fontId="0" fillId="4" borderId="12" xfId="0" applyFill="1" applyBorder="1" applyProtection="1"/>
    <xf numFmtId="0" fontId="9" fillId="4" borderId="8" xfId="0" applyFont="1" applyFill="1" applyBorder="1" applyProtection="1"/>
    <xf numFmtId="0" fontId="4" fillId="4" borderId="11" xfId="0" applyFont="1" applyFill="1" applyBorder="1" applyProtection="1"/>
    <xf numFmtId="0" fontId="4" fillId="4" borderId="0" xfId="0" applyFont="1" applyFill="1" applyBorder="1" applyAlignment="1" applyProtection="1">
      <alignment horizontal="left"/>
    </xf>
    <xf numFmtId="0" fontId="15" fillId="4" borderId="0" xfId="0" applyFont="1" applyFill="1" applyBorder="1" applyProtection="1"/>
    <xf numFmtId="0" fontId="16" fillId="4" borderId="0" xfId="0" applyFont="1" applyFill="1" applyBorder="1" applyProtection="1"/>
    <xf numFmtId="177" fontId="3" fillId="5" borderId="0" xfId="0" applyNumberFormat="1" applyFont="1" applyFill="1" applyBorder="1" applyAlignment="1" applyProtection="1">
      <alignment horizontal="center" vertical="center"/>
    </xf>
    <xf numFmtId="173" fontId="3" fillId="5" borderId="0" xfId="0" applyNumberFormat="1" applyFont="1" applyFill="1" applyBorder="1" applyAlignment="1" applyProtection="1">
      <alignment horizontal="center" vertical="center"/>
    </xf>
    <xf numFmtId="0" fontId="18" fillId="4" borderId="0" xfId="0" applyFont="1" applyFill="1" applyBorder="1" applyProtection="1"/>
    <xf numFmtId="0" fontId="0" fillId="4" borderId="0" xfId="0" applyFill="1" applyBorder="1" applyAlignment="1" applyProtection="1">
      <alignment horizontal="right"/>
    </xf>
    <xf numFmtId="0" fontId="7" fillId="4" borderId="13" xfId="0" applyFont="1" applyFill="1" applyBorder="1" applyProtection="1"/>
    <xf numFmtId="0" fontId="7" fillId="4" borderId="14" xfId="0" applyFont="1" applyFill="1" applyBorder="1" applyProtection="1"/>
    <xf numFmtId="0" fontId="7" fillId="4" borderId="15" xfId="0" applyFont="1" applyFill="1" applyBorder="1" applyProtection="1"/>
    <xf numFmtId="49" fontId="17" fillId="4" borderId="0" xfId="0" applyNumberFormat="1" applyFont="1" applyFill="1" applyBorder="1" applyAlignment="1" applyProtection="1">
      <alignment horizontal="center"/>
    </xf>
    <xf numFmtId="0" fontId="7" fillId="4" borderId="14" xfId="0" applyNumberFormat="1" applyFont="1" applyFill="1" applyBorder="1" applyProtection="1"/>
    <xf numFmtId="0" fontId="7" fillId="4" borderId="13" xfId="0" applyNumberFormat="1" applyFont="1" applyFill="1" applyBorder="1" applyProtection="1"/>
    <xf numFmtId="172" fontId="11" fillId="4" borderId="0" xfId="0" applyNumberFormat="1" applyFont="1" applyFill="1" applyBorder="1" applyAlignment="1" applyProtection="1">
      <alignment horizontal="center"/>
    </xf>
    <xf numFmtId="0" fontId="0" fillId="6" borderId="16" xfId="0" applyFill="1" applyBorder="1" applyAlignment="1" applyProtection="1">
      <alignment horizontal="center"/>
      <protection locked="0"/>
    </xf>
    <xf numFmtId="177" fontId="0" fillId="6" borderId="16" xfId="0" applyNumberFormat="1" applyFill="1" applyBorder="1" applyAlignment="1" applyProtection="1">
      <alignment horizontal="center"/>
      <protection locked="0"/>
    </xf>
    <xf numFmtId="0" fontId="14" fillId="0" borderId="0" xfId="0" applyFont="1" applyFill="1" applyBorder="1" applyAlignment="1" applyProtection="1">
      <alignment horizontal="left"/>
    </xf>
    <xf numFmtId="0" fontId="19" fillId="4" borderId="0" xfId="0" applyFont="1" applyFill="1" applyBorder="1" applyProtection="1"/>
    <xf numFmtId="0" fontId="22" fillId="4" borderId="0" xfId="0" applyFont="1" applyFill="1" applyBorder="1" applyProtection="1"/>
    <xf numFmtId="0" fontId="12" fillId="4" borderId="0" xfId="0" applyFont="1" applyFill="1" applyBorder="1" applyAlignment="1" applyProtection="1">
      <alignment horizontal="left"/>
    </xf>
    <xf numFmtId="0" fontId="1" fillId="4" borderId="0" xfId="0" applyFont="1" applyFill="1" applyAlignment="1" applyProtection="1">
      <alignment horizontal="left"/>
    </xf>
    <xf numFmtId="0" fontId="4" fillId="4" borderId="0" xfId="0" applyFont="1" applyFill="1" applyAlignment="1" applyProtection="1">
      <alignment horizontal="center"/>
    </xf>
    <xf numFmtId="0" fontId="0" fillId="4" borderId="17" xfId="0" applyFill="1" applyBorder="1" applyAlignment="1" applyProtection="1">
      <alignment horizontal="center"/>
    </xf>
    <xf numFmtId="0" fontId="4" fillId="4" borderId="18" xfId="0" applyFont="1" applyFill="1" applyBorder="1" applyProtection="1"/>
    <xf numFmtId="0" fontId="4" fillId="4" borderId="19" xfId="0" applyFont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177" fontId="0" fillId="0" borderId="0" xfId="0" applyNumberFormat="1" applyProtection="1"/>
    <xf numFmtId="180" fontId="0" fillId="0" borderId="0" xfId="1" applyNumberFormat="1" applyFont="1" applyAlignment="1" applyProtection="1">
      <alignment horizontal="right"/>
    </xf>
    <xf numFmtId="172" fontId="0" fillId="0" borderId="0" xfId="0" applyNumberFormat="1" applyProtection="1"/>
    <xf numFmtId="173" fontId="0" fillId="7" borderId="20" xfId="0" applyNumberFormat="1" applyFill="1" applyBorder="1" applyAlignment="1" applyProtection="1">
      <alignment horizontal="center"/>
    </xf>
    <xf numFmtId="2" fontId="0" fillId="0" borderId="0" xfId="0" applyNumberFormat="1" applyProtection="1"/>
    <xf numFmtId="0" fontId="6" fillId="4" borderId="0" xfId="0" applyFont="1" applyFill="1" applyAlignment="1" applyProtection="1">
      <alignment horizontal="center"/>
    </xf>
    <xf numFmtId="180" fontId="0" fillId="0" borderId="0" xfId="0" applyNumberFormat="1" applyAlignment="1" applyProtection="1">
      <alignment horizontal="center"/>
    </xf>
    <xf numFmtId="0" fontId="3" fillId="0" borderId="0" xfId="0" applyFont="1" applyFill="1" applyAlignment="1" applyProtection="1">
      <alignment horizontal="left"/>
    </xf>
    <xf numFmtId="0" fontId="3" fillId="0" borderId="0" xfId="0" applyFont="1" applyProtection="1"/>
    <xf numFmtId="0" fontId="0" fillId="0" borderId="0" xfId="0" applyAlignment="1" applyProtection="1">
      <alignment horizontal="right"/>
    </xf>
    <xf numFmtId="0" fontId="0" fillId="0" borderId="0" xfId="0" quotePrefix="1" applyProtection="1"/>
    <xf numFmtId="0" fontId="4" fillId="0" borderId="0" xfId="0" applyFont="1" applyProtection="1"/>
    <xf numFmtId="174" fontId="0" fillId="0" borderId="0" xfId="0" applyNumberFormat="1" applyProtection="1"/>
    <xf numFmtId="0" fontId="6" fillId="0" borderId="0" xfId="0" applyFont="1" applyProtection="1"/>
    <xf numFmtId="0" fontId="14" fillId="0" borderId="0" xfId="0" applyFont="1" applyProtection="1"/>
    <xf numFmtId="2" fontId="0" fillId="0" borderId="0" xfId="0" applyNumberFormat="1" applyAlignment="1" applyProtection="1">
      <alignment horizontal="center"/>
    </xf>
    <xf numFmtId="0" fontId="6" fillId="0" borderId="0" xfId="0" applyFont="1" applyFill="1" applyAlignment="1" applyProtection="1">
      <alignment horizontal="left"/>
    </xf>
    <xf numFmtId="172" fontId="0" fillId="0" borderId="0" xfId="0" applyNumberFormat="1" applyAlignment="1" applyProtection="1">
      <alignment horizontal="center"/>
    </xf>
    <xf numFmtId="0" fontId="0" fillId="0" borderId="0" xfId="0" applyFill="1"/>
    <xf numFmtId="49" fontId="4" fillId="0" borderId="4" xfId="0" applyNumberFormat="1" applyFont="1" applyFill="1" applyBorder="1" applyAlignment="1" applyProtection="1">
      <alignment horizontal="left"/>
    </xf>
    <xf numFmtId="0" fontId="0" fillId="0" borderId="21" xfId="0" applyFill="1" applyBorder="1" applyAlignment="1" applyProtection="1">
      <alignment horizontal="right"/>
    </xf>
    <xf numFmtId="49" fontId="0" fillId="0" borderId="21" xfId="0" applyNumberFormat="1" applyFill="1" applyBorder="1" applyAlignment="1" applyProtection="1">
      <alignment horizontal="right"/>
    </xf>
    <xf numFmtId="0" fontId="0" fillId="0" borderId="1" xfId="0" applyFill="1" applyBorder="1" applyProtection="1"/>
    <xf numFmtId="2" fontId="3" fillId="5" borderId="0" xfId="0" applyNumberFormat="1" applyFont="1" applyFill="1" applyBorder="1" applyAlignment="1" applyProtection="1">
      <alignment horizontal="center" vertical="center"/>
    </xf>
    <xf numFmtId="49" fontId="0" fillId="3" borderId="6" xfId="0" applyNumberFormat="1" applyFill="1" applyBorder="1" applyAlignment="1" applyProtection="1">
      <alignment horizontal="center"/>
    </xf>
    <xf numFmtId="0" fontId="0" fillId="3" borderId="3" xfId="0" applyFill="1" applyBorder="1" applyAlignment="1" applyProtection="1">
      <alignment horizontal="center"/>
    </xf>
    <xf numFmtId="0" fontId="0" fillId="2" borderId="5" xfId="0" applyFill="1" applyBorder="1"/>
    <xf numFmtId="0" fontId="0" fillId="2" borderId="2" xfId="0" applyFill="1" applyBorder="1"/>
    <xf numFmtId="0" fontId="0" fillId="2" borderId="6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3" borderId="5" xfId="0" applyFill="1" applyBorder="1"/>
    <xf numFmtId="0" fontId="0" fillId="3" borderId="2" xfId="0" applyFill="1" applyBorder="1"/>
    <xf numFmtId="0" fontId="0" fillId="3" borderId="5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24" fillId="4" borderId="0" xfId="0" applyFont="1" applyFill="1" applyBorder="1" applyProtection="1"/>
    <xf numFmtId="0" fontId="0" fillId="2" borderId="4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49" fontId="0" fillId="2" borderId="4" xfId="0" applyNumberFormat="1" applyFill="1" applyBorder="1" applyAlignment="1" applyProtection="1">
      <alignment horizontal="center"/>
    </xf>
    <xf numFmtId="49" fontId="0" fillId="2" borderId="1" xfId="0" applyNumberFormat="1" applyFill="1" applyBorder="1" applyAlignment="1" applyProtection="1">
      <alignment horizontal="center"/>
    </xf>
    <xf numFmtId="49" fontId="0" fillId="2" borderId="5" xfId="0" applyNumberFormat="1" applyFill="1" applyBorder="1" applyAlignment="1" applyProtection="1">
      <alignment horizontal="center"/>
    </xf>
    <xf numFmtId="49" fontId="0" fillId="2" borderId="2" xfId="0" applyNumberFormat="1" applyFill="1" applyBorder="1" applyAlignment="1" applyProtection="1">
      <alignment horizontal="center"/>
    </xf>
  </cellXfs>
  <cellStyles count="2">
    <cellStyle name="Comma" xfId="1" builtinId="3"/>
    <cellStyle name="Normal" xfId="0" builtinId="0"/>
  </cellStyles>
  <dxfs count="2">
    <dxf>
      <font>
        <b val="0"/>
        <i val="0"/>
        <condense val="0"/>
        <extend val="0"/>
        <color indexed="17"/>
      </font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514350</xdr:colOff>
      <xdr:row>0</xdr:row>
      <xdr:rowOff>0</xdr:rowOff>
    </xdr:from>
    <xdr:to>
      <xdr:col>14</xdr:col>
      <xdr:colOff>514350</xdr:colOff>
      <xdr:row>2</xdr:row>
      <xdr:rowOff>9525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41578834-131D-4B0B-A498-4BFB4D74AC28}"/>
            </a:ext>
          </a:extLst>
        </xdr:cNvPr>
        <xdr:cNvSpPr txBox="1">
          <a:spLocks noChangeArrowheads="1"/>
        </xdr:cNvSpPr>
      </xdr:nvSpPr>
      <xdr:spPr bwMode="auto">
        <a:xfrm>
          <a:off x="8258175" y="0"/>
          <a:ext cx="1219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CC9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nl-NL" sz="1600" b="0" i="0" u="none" strike="noStrike" baseline="0">
              <a:solidFill>
                <a:srgbClr val="00FF00"/>
              </a:solidFill>
              <a:latin typeface="+mn-lt"/>
            </a:rPr>
            <a:t>RIVM</a:t>
          </a:r>
          <a:endParaRPr lang="nl-NL" sz="1600" b="0" i="0" u="none" strike="noStrike" baseline="0">
            <a:solidFill>
              <a:srgbClr val="FFCC00"/>
            </a:solidFill>
            <a:latin typeface="+mn-lt"/>
          </a:endParaRPr>
        </a:p>
        <a:p>
          <a:pPr algn="l" rtl="0">
            <a:defRPr sz="1000"/>
          </a:pPr>
          <a:endParaRPr lang="nl-NL" sz="1600" b="0" i="0" u="none" strike="noStrike" baseline="0">
            <a:solidFill>
              <a:srgbClr val="FFCC00"/>
            </a:solidFill>
            <a:latin typeface="RIVM Logos V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B2:AJ50"/>
  <sheetViews>
    <sheetView showGridLines="0" showRowColHeaders="0" tabSelected="1" defaultGridColor="0" colorId="10" workbookViewId="0">
      <selection activeCell="D4" sqref="D4"/>
    </sheetView>
  </sheetViews>
  <sheetFormatPr defaultRowHeight="12.75" x14ac:dyDescent="0.2"/>
  <cols>
    <col min="1" max="1" width="10.7109375" style="27" customWidth="1"/>
    <col min="2" max="2" width="0.85546875" style="27" customWidth="1"/>
    <col min="3" max="3" width="33.7109375" style="27" customWidth="1"/>
    <col min="4" max="4" width="12.28515625" style="27" bestFit="1" customWidth="1"/>
    <col min="5" max="5" width="2.5703125" style="38" customWidth="1"/>
    <col min="6" max="6" width="6" style="28" customWidth="1"/>
    <col min="7" max="7" width="4.28515625" style="28" customWidth="1"/>
    <col min="8" max="9" width="9.140625" style="28"/>
    <col min="10" max="11" width="9.140625" style="27"/>
    <col min="12" max="12" width="9.140625" style="47"/>
    <col min="13" max="13" width="9.140625" style="27"/>
    <col min="14" max="15" width="9.140625" style="29"/>
    <col min="16" max="16" width="12.28515625" style="27" customWidth="1"/>
    <col min="17" max="17" width="9.140625" style="27"/>
    <col min="18" max="19" width="9.140625" style="29"/>
    <col min="20" max="16384" width="9.140625" style="27"/>
  </cols>
  <sheetData>
    <row r="2" spans="2:36" x14ac:dyDescent="0.2">
      <c r="B2" s="47"/>
      <c r="C2" s="40" t="s">
        <v>116</v>
      </c>
      <c r="I2" s="47"/>
      <c r="J2" s="47"/>
      <c r="K2" s="47"/>
    </row>
    <row r="3" spans="2:36" x14ac:dyDescent="0.2">
      <c r="B3" s="65"/>
      <c r="C3" s="66" t="s">
        <v>39</v>
      </c>
      <c r="D3" s="43"/>
      <c r="E3" s="44"/>
      <c r="F3" s="45"/>
      <c r="G3" s="43"/>
      <c r="H3" s="43"/>
      <c r="I3" s="43"/>
      <c r="J3" s="43"/>
      <c r="K3" s="43"/>
      <c r="L3" s="43"/>
      <c r="M3" s="43"/>
      <c r="N3" s="75"/>
      <c r="U3" s="30"/>
      <c r="V3" s="30"/>
      <c r="W3" s="30"/>
      <c r="AG3" s="31"/>
      <c r="AH3" s="31"/>
      <c r="AI3" s="31"/>
      <c r="AJ3" s="31"/>
    </row>
    <row r="4" spans="2:36" x14ac:dyDescent="0.2">
      <c r="B4" s="46"/>
      <c r="C4" s="47" t="s">
        <v>35</v>
      </c>
      <c r="D4" s="82">
        <v>70</v>
      </c>
      <c r="E4" s="56" t="s">
        <v>24</v>
      </c>
      <c r="F4" s="48"/>
      <c r="G4" s="47"/>
      <c r="H4" s="47"/>
      <c r="I4" s="47"/>
      <c r="J4" s="47"/>
      <c r="K4" s="47"/>
      <c r="M4" s="47"/>
      <c r="N4" s="76"/>
      <c r="U4" s="32"/>
      <c r="V4" s="32"/>
      <c r="W4" s="32"/>
      <c r="AG4" s="30"/>
      <c r="AH4" s="31"/>
      <c r="AI4" s="31"/>
      <c r="AJ4" s="31"/>
    </row>
    <row r="5" spans="2:36" x14ac:dyDescent="0.2">
      <c r="B5" s="46"/>
      <c r="C5" s="47" t="s">
        <v>13</v>
      </c>
      <c r="D5" s="82">
        <v>20</v>
      </c>
      <c r="E5" s="56" t="s">
        <v>24</v>
      </c>
      <c r="F5" s="48"/>
      <c r="G5" s="48"/>
      <c r="H5" s="48"/>
      <c r="I5" s="47"/>
      <c r="J5" s="47"/>
      <c r="K5" s="47"/>
      <c r="M5" s="47"/>
      <c r="N5" s="76"/>
      <c r="U5" s="32"/>
      <c r="V5" s="32"/>
      <c r="W5" s="32"/>
      <c r="AG5" s="30"/>
      <c r="AH5" s="31"/>
      <c r="AI5" s="31"/>
      <c r="AJ5" s="31"/>
    </row>
    <row r="6" spans="2:36" x14ac:dyDescent="0.2">
      <c r="B6" s="46"/>
      <c r="C6" s="47" t="s">
        <v>36</v>
      </c>
      <c r="D6" s="82">
        <v>10</v>
      </c>
      <c r="E6" s="56" t="s">
        <v>24</v>
      </c>
      <c r="F6" s="48"/>
      <c r="G6" s="48"/>
      <c r="H6" s="48"/>
      <c r="I6" s="47"/>
      <c r="J6" s="47"/>
      <c r="K6" s="47"/>
      <c r="M6" s="47"/>
      <c r="N6" s="76"/>
      <c r="U6" s="32"/>
      <c r="V6" s="32"/>
      <c r="W6" s="32"/>
      <c r="AG6" s="30"/>
      <c r="AH6" s="31"/>
      <c r="AI6" s="31"/>
      <c r="AJ6" s="31"/>
    </row>
    <row r="7" spans="2:36" x14ac:dyDescent="0.2">
      <c r="B7" s="46"/>
      <c r="C7" s="47"/>
      <c r="D7" s="37"/>
      <c r="E7" s="34"/>
      <c r="F7" s="69" t="s">
        <v>42</v>
      </c>
      <c r="G7" s="74">
        <f>Sum</f>
        <v>100</v>
      </c>
      <c r="H7" s="69" t="s">
        <v>24</v>
      </c>
      <c r="I7" s="48"/>
      <c r="J7" s="47"/>
      <c r="K7" s="47"/>
      <c r="M7" s="47"/>
      <c r="N7" s="76"/>
      <c r="U7" s="32"/>
      <c r="V7" s="32"/>
      <c r="W7" s="32"/>
      <c r="AG7" s="30"/>
      <c r="AH7" s="31"/>
      <c r="AI7" s="31"/>
      <c r="AJ7" s="31"/>
    </row>
    <row r="8" spans="2:36" x14ac:dyDescent="0.2">
      <c r="B8" s="46"/>
      <c r="C8" s="47" t="s">
        <v>37</v>
      </c>
      <c r="D8" s="82">
        <v>15</v>
      </c>
      <c r="E8" s="56" t="s">
        <v>24</v>
      </c>
      <c r="F8" s="48"/>
      <c r="G8" s="48"/>
      <c r="H8" s="48"/>
      <c r="I8" s="47"/>
      <c r="J8" s="47"/>
      <c r="K8" s="47"/>
      <c r="M8" s="47"/>
      <c r="N8" s="76"/>
      <c r="U8" s="32"/>
      <c r="V8" s="32"/>
      <c r="W8" s="32"/>
      <c r="AG8" s="30"/>
      <c r="AH8" s="31"/>
      <c r="AI8" s="31"/>
      <c r="AJ8" s="31"/>
    </row>
    <row r="9" spans="2:36" x14ac:dyDescent="0.2">
      <c r="B9" s="46"/>
      <c r="C9" s="47"/>
      <c r="D9" s="37"/>
      <c r="E9" s="56"/>
      <c r="F9" s="48"/>
      <c r="G9" s="48"/>
      <c r="H9" s="48"/>
      <c r="I9" s="47"/>
      <c r="J9" s="47"/>
      <c r="K9" s="47"/>
      <c r="M9" s="47"/>
      <c r="N9" s="76"/>
      <c r="U9" s="32"/>
      <c r="V9" s="32"/>
      <c r="W9" s="32"/>
      <c r="AG9" s="30"/>
      <c r="AH9" s="31"/>
      <c r="AI9" s="31"/>
      <c r="AJ9" s="31"/>
    </row>
    <row r="10" spans="2:36" x14ac:dyDescent="0.2">
      <c r="B10" s="46"/>
      <c r="C10" s="70" t="s">
        <v>40</v>
      </c>
      <c r="E10" s="34"/>
      <c r="F10" s="47"/>
      <c r="G10" s="47"/>
      <c r="H10" s="47"/>
      <c r="I10" s="47"/>
      <c r="J10" s="47"/>
      <c r="K10" s="47"/>
      <c r="M10" s="47"/>
      <c r="N10" s="76"/>
      <c r="U10" s="32"/>
      <c r="V10" s="32"/>
      <c r="W10" s="32"/>
      <c r="AG10" s="30"/>
      <c r="AH10" s="31"/>
      <c r="AI10" s="31"/>
      <c r="AJ10" s="31"/>
    </row>
    <row r="11" spans="2:36" ht="15.75" customHeight="1" x14ac:dyDescent="0.2">
      <c r="B11" s="46"/>
      <c r="C11" s="34" t="s">
        <v>38</v>
      </c>
      <c r="D11" s="117" t="str">
        <f>SoiltypeHYPRES</f>
        <v>Organic</v>
      </c>
      <c r="E11" s="39"/>
      <c r="F11" s="131" t="str">
        <f>SumError</f>
        <v/>
      </c>
      <c r="G11" s="47"/>
      <c r="H11" s="47"/>
      <c r="I11" s="47"/>
      <c r="J11" s="47"/>
      <c r="K11" s="47"/>
      <c r="M11" s="47"/>
      <c r="N11" s="76"/>
      <c r="U11" s="32"/>
      <c r="V11" s="32"/>
      <c r="W11" s="32"/>
      <c r="AG11" s="30"/>
      <c r="AH11" s="31"/>
      <c r="AI11" s="31"/>
      <c r="AJ11" s="31"/>
    </row>
    <row r="12" spans="2:36" x14ac:dyDescent="0.2">
      <c r="B12" s="50"/>
      <c r="C12" s="51"/>
      <c r="D12" s="51"/>
      <c r="E12" s="52"/>
      <c r="F12" s="51"/>
      <c r="G12" s="53"/>
      <c r="H12" s="53"/>
      <c r="I12" s="51"/>
      <c r="J12" s="51"/>
      <c r="K12" s="51"/>
      <c r="L12" s="51"/>
      <c r="M12" s="51"/>
      <c r="N12" s="77"/>
      <c r="U12" s="32"/>
      <c r="V12" s="32"/>
      <c r="W12" s="32"/>
      <c r="AG12" s="30"/>
      <c r="AH12" s="31"/>
      <c r="AI12" s="31"/>
      <c r="AJ12" s="31"/>
    </row>
    <row r="13" spans="2:36" x14ac:dyDescent="0.2">
      <c r="C13" s="47"/>
      <c r="D13" s="47"/>
      <c r="E13" s="34"/>
      <c r="F13" s="47"/>
      <c r="G13" s="48"/>
      <c r="H13" s="48"/>
      <c r="I13" s="47"/>
      <c r="J13" s="47"/>
      <c r="K13" s="47"/>
      <c r="U13" s="32"/>
      <c r="V13" s="32"/>
      <c r="W13" s="32"/>
      <c r="AG13" s="30"/>
      <c r="AH13" s="31"/>
      <c r="AI13" s="31"/>
      <c r="AJ13" s="31"/>
    </row>
    <row r="14" spans="2:36" x14ac:dyDescent="0.2">
      <c r="F14" s="27"/>
      <c r="I14" s="27"/>
      <c r="U14" s="32"/>
      <c r="V14" s="32"/>
      <c r="W14" s="32"/>
      <c r="AG14" s="30"/>
      <c r="AH14" s="31"/>
      <c r="AI14" s="31"/>
      <c r="AJ14" s="31"/>
    </row>
    <row r="15" spans="2:36" x14ac:dyDescent="0.2">
      <c r="C15" s="41" t="s">
        <v>61</v>
      </c>
      <c r="F15" s="27"/>
      <c r="G15" s="27"/>
      <c r="H15" s="27"/>
      <c r="I15" s="27"/>
      <c r="U15" s="32"/>
      <c r="V15" s="32"/>
      <c r="W15" s="32"/>
      <c r="AG15" s="30"/>
      <c r="AH15" s="31"/>
      <c r="AI15" s="31"/>
      <c r="AJ15" s="31"/>
    </row>
    <row r="16" spans="2:36" x14ac:dyDescent="0.2">
      <c r="B16" s="65"/>
      <c r="C16" s="66" t="s">
        <v>39</v>
      </c>
      <c r="D16" s="43"/>
      <c r="E16" s="44"/>
      <c r="F16" s="43"/>
      <c r="G16" s="43"/>
      <c r="H16" s="43"/>
      <c r="I16" s="43"/>
      <c r="J16" s="43"/>
      <c r="K16" s="43"/>
      <c r="L16" s="43"/>
      <c r="M16" s="43"/>
      <c r="N16" s="75"/>
      <c r="U16" s="32"/>
      <c r="V16" s="32"/>
      <c r="W16" s="32"/>
    </row>
    <row r="17" spans="2:23" x14ac:dyDescent="0.2">
      <c r="B17" s="46"/>
      <c r="C17" s="47" t="s">
        <v>27</v>
      </c>
      <c r="D17" s="82">
        <v>43.52</v>
      </c>
      <c r="E17" s="34" t="s">
        <v>24</v>
      </c>
      <c r="F17" s="27"/>
      <c r="G17" s="27"/>
      <c r="H17" s="27"/>
      <c r="I17" s="54"/>
      <c r="J17" s="47"/>
      <c r="K17" s="47"/>
      <c r="M17" s="47"/>
      <c r="N17" s="76"/>
      <c r="U17" s="32"/>
      <c r="V17" s="32"/>
      <c r="W17" s="32"/>
    </row>
    <row r="18" spans="2:23" x14ac:dyDescent="0.2">
      <c r="B18" s="46"/>
      <c r="C18" s="47" t="s">
        <v>94</v>
      </c>
      <c r="D18" s="82" t="s">
        <v>51</v>
      </c>
      <c r="E18" s="78" t="s">
        <v>67</v>
      </c>
      <c r="F18" s="27"/>
      <c r="G18" s="86" t="s">
        <v>120</v>
      </c>
      <c r="H18" s="27"/>
      <c r="I18" s="54"/>
      <c r="J18" s="47"/>
      <c r="K18" s="47"/>
      <c r="M18" s="47"/>
      <c r="N18" s="76"/>
      <c r="U18" s="32"/>
      <c r="V18" s="32"/>
      <c r="W18" s="32"/>
    </row>
    <row r="19" spans="2:23" x14ac:dyDescent="0.2">
      <c r="B19" s="46"/>
      <c r="C19" s="47" t="s">
        <v>95</v>
      </c>
      <c r="D19" s="82" t="s">
        <v>96</v>
      </c>
      <c r="E19" s="78" t="s">
        <v>67</v>
      </c>
      <c r="F19" s="27"/>
      <c r="G19" s="73" t="s">
        <v>93</v>
      </c>
      <c r="H19" s="85"/>
      <c r="I19" s="54"/>
      <c r="J19" s="47"/>
      <c r="K19" s="47"/>
      <c r="M19" s="47"/>
      <c r="N19" s="76"/>
      <c r="U19" s="32"/>
      <c r="V19" s="32"/>
      <c r="W19" s="32"/>
    </row>
    <row r="20" spans="2:23" x14ac:dyDescent="0.2">
      <c r="B20" s="46"/>
      <c r="C20" s="47" t="s">
        <v>32</v>
      </c>
      <c r="D20" s="82">
        <v>32.61</v>
      </c>
      <c r="E20" s="34" t="s">
        <v>24</v>
      </c>
      <c r="F20" s="48"/>
      <c r="G20" s="73" t="s">
        <v>33</v>
      </c>
      <c r="H20" s="27"/>
      <c r="I20" s="54"/>
      <c r="J20" s="47"/>
      <c r="K20" s="47"/>
      <c r="M20" s="47"/>
      <c r="N20" s="76"/>
      <c r="U20" s="32"/>
      <c r="V20" s="32"/>
      <c r="W20" s="32"/>
    </row>
    <row r="21" spans="2:23" ht="14.25" x14ac:dyDescent="0.2">
      <c r="B21" s="46"/>
      <c r="C21" s="47" t="s">
        <v>31</v>
      </c>
      <c r="D21" s="82">
        <v>1.4</v>
      </c>
      <c r="E21" s="34" t="s">
        <v>92</v>
      </c>
      <c r="F21" s="48"/>
      <c r="G21" s="73" t="s">
        <v>65</v>
      </c>
      <c r="H21" s="27"/>
      <c r="I21" s="47"/>
      <c r="J21" s="47"/>
      <c r="K21" s="47"/>
      <c r="M21" s="47"/>
      <c r="N21" s="79"/>
      <c r="O21" s="36"/>
      <c r="P21" s="32"/>
      <c r="Q21" s="32"/>
      <c r="R21" s="36"/>
      <c r="S21" s="36"/>
      <c r="T21" s="32"/>
      <c r="U21" s="32"/>
      <c r="V21" s="32"/>
      <c r="W21" s="32"/>
    </row>
    <row r="22" spans="2:23" x14ac:dyDescent="0.2">
      <c r="B22" s="46"/>
      <c r="C22" s="47"/>
      <c r="D22" s="37"/>
      <c r="E22" s="34"/>
      <c r="F22" s="48"/>
      <c r="G22" s="73" t="s">
        <v>66</v>
      </c>
      <c r="H22" s="27"/>
      <c r="I22" s="47"/>
      <c r="J22" s="47"/>
      <c r="K22" s="47"/>
      <c r="M22" s="47"/>
      <c r="N22" s="79"/>
      <c r="O22" s="36"/>
      <c r="P22" s="32"/>
      <c r="Q22" s="32"/>
      <c r="R22" s="36"/>
      <c r="S22" s="36"/>
      <c r="T22" s="32"/>
      <c r="U22" s="32"/>
      <c r="V22" s="32"/>
      <c r="W22" s="32"/>
    </row>
    <row r="23" spans="2:23" x14ac:dyDescent="0.2">
      <c r="B23" s="46"/>
      <c r="C23" s="57" t="s">
        <v>46</v>
      </c>
      <c r="D23" s="42"/>
      <c r="E23" s="55"/>
      <c r="F23" s="47"/>
      <c r="G23" s="47"/>
      <c r="H23" s="47"/>
      <c r="I23" s="48"/>
      <c r="J23" s="47"/>
      <c r="K23" s="47"/>
      <c r="L23" s="54"/>
      <c r="M23" s="54"/>
      <c r="N23" s="79"/>
      <c r="O23" s="36"/>
      <c r="P23" s="32"/>
      <c r="Q23" s="32"/>
      <c r="R23" s="36"/>
      <c r="S23" s="36"/>
      <c r="T23" s="32"/>
      <c r="U23" s="32"/>
      <c r="V23" s="32"/>
      <c r="W23" s="32"/>
    </row>
    <row r="24" spans="2:23" x14ac:dyDescent="0.2">
      <c r="B24" s="46"/>
      <c r="C24" s="58" t="s">
        <v>101</v>
      </c>
      <c r="D24" s="81">
        <f>MWHC_vv_pF0</f>
        <v>0.43520000000000003</v>
      </c>
      <c r="E24" s="87" t="s">
        <v>102</v>
      </c>
      <c r="F24" s="47"/>
      <c r="G24" s="47"/>
      <c r="H24" s="47"/>
      <c r="I24" s="48"/>
      <c r="J24" s="47"/>
      <c r="K24" s="47"/>
      <c r="L24" s="54"/>
      <c r="M24" s="54"/>
      <c r="N24" s="79"/>
      <c r="O24" s="36"/>
      <c r="P24" s="32"/>
      <c r="Q24" s="32"/>
      <c r="R24" s="36"/>
      <c r="S24" s="36"/>
      <c r="T24" s="32"/>
      <c r="U24" s="32"/>
      <c r="V24" s="32"/>
      <c r="W24" s="32"/>
    </row>
    <row r="25" spans="2:23" ht="15.75" x14ac:dyDescent="0.3">
      <c r="B25" s="46"/>
      <c r="C25" s="58" t="s">
        <v>64</v>
      </c>
      <c r="D25" s="81">
        <f>θact</f>
        <v>0.14191872</v>
      </c>
      <c r="E25" s="87" t="s">
        <v>102</v>
      </c>
      <c r="F25" s="48"/>
      <c r="G25" s="47"/>
      <c r="H25" s="47"/>
      <c r="I25" s="48"/>
      <c r="J25" s="47"/>
      <c r="K25" s="47"/>
      <c r="M25" s="47"/>
      <c r="N25" s="76"/>
    </row>
    <row r="26" spans="2:23" x14ac:dyDescent="0.2">
      <c r="B26" s="46"/>
      <c r="C26" s="47"/>
      <c r="D26" s="37"/>
      <c r="E26" s="34"/>
      <c r="F26" s="48"/>
      <c r="G26" s="47"/>
      <c r="H26" s="47"/>
      <c r="I26" s="48"/>
      <c r="J26" s="47"/>
      <c r="K26" s="47"/>
      <c r="M26" s="47"/>
      <c r="N26" s="76"/>
    </row>
    <row r="27" spans="2:23" x14ac:dyDescent="0.2">
      <c r="B27" s="46"/>
      <c r="C27" s="70" t="s">
        <v>40</v>
      </c>
      <c r="D27" s="47"/>
      <c r="E27" s="34"/>
      <c r="F27" s="47"/>
      <c r="G27" s="47"/>
      <c r="H27" s="47"/>
      <c r="I27" s="48"/>
      <c r="J27" s="47"/>
      <c r="K27" s="47"/>
      <c r="M27" s="47"/>
      <c r="N27" s="76"/>
    </row>
    <row r="28" spans="2:23" ht="15.75" x14ac:dyDescent="0.3">
      <c r="B28" s="46"/>
      <c r="C28" s="47" t="s">
        <v>49</v>
      </c>
      <c r="D28" s="71">
        <f>pF_θact</f>
        <v>5.6046094332990632</v>
      </c>
      <c r="E28" s="49"/>
      <c r="F28" s="48"/>
      <c r="G28" s="48"/>
      <c r="H28" s="48"/>
      <c r="I28" s="48"/>
      <c r="J28" s="47"/>
      <c r="K28" s="47"/>
      <c r="M28" s="47"/>
      <c r="N28" s="76"/>
    </row>
    <row r="29" spans="2:23" x14ac:dyDescent="0.2">
      <c r="B29" s="50"/>
      <c r="C29" s="51"/>
      <c r="D29" s="59"/>
      <c r="E29" s="60"/>
      <c r="F29" s="53"/>
      <c r="G29" s="53"/>
      <c r="H29" s="53"/>
      <c r="I29" s="53"/>
      <c r="J29" s="51"/>
      <c r="K29" s="51"/>
      <c r="L29" s="51"/>
      <c r="M29" s="51"/>
      <c r="N29" s="77"/>
    </row>
    <row r="30" spans="2:23" x14ac:dyDescent="0.2">
      <c r="C30" s="47"/>
      <c r="D30" s="47"/>
      <c r="E30" s="34"/>
      <c r="F30" s="48"/>
      <c r="G30" s="48"/>
      <c r="H30" s="48"/>
      <c r="I30" s="48"/>
      <c r="J30" s="47"/>
      <c r="K30" s="47"/>
    </row>
    <row r="31" spans="2:23" x14ac:dyDescent="0.2">
      <c r="C31" s="41" t="s">
        <v>62</v>
      </c>
      <c r="I31" s="27"/>
      <c r="N31" s="36"/>
      <c r="O31" s="36"/>
      <c r="P31" s="32"/>
      <c r="Q31" s="32"/>
      <c r="R31" s="36"/>
      <c r="S31" s="36"/>
      <c r="T31" s="32"/>
      <c r="U31" s="32"/>
      <c r="V31" s="32"/>
      <c r="W31" s="32"/>
    </row>
    <row r="32" spans="2:23" x14ac:dyDescent="0.2">
      <c r="B32" s="65"/>
      <c r="C32" s="66" t="s">
        <v>39</v>
      </c>
      <c r="D32" s="43"/>
      <c r="E32" s="44"/>
      <c r="F32" s="45"/>
      <c r="G32" s="45"/>
      <c r="H32" s="45"/>
      <c r="I32" s="43"/>
      <c r="J32" s="43"/>
      <c r="K32" s="43"/>
      <c r="L32" s="43"/>
      <c r="M32" s="43"/>
      <c r="N32" s="80"/>
      <c r="O32" s="36"/>
      <c r="P32" s="32"/>
      <c r="Q32" s="32"/>
      <c r="R32" s="36"/>
      <c r="S32" s="36"/>
      <c r="T32" s="32"/>
      <c r="U32" s="32"/>
      <c r="V32" s="32"/>
      <c r="W32" s="32"/>
    </row>
    <row r="33" spans="2:14" x14ac:dyDescent="0.2">
      <c r="B33" s="46"/>
      <c r="C33" s="47" t="s">
        <v>54</v>
      </c>
      <c r="D33" s="82">
        <v>19.36</v>
      </c>
      <c r="E33" s="34" t="s">
        <v>24</v>
      </c>
      <c r="F33" s="27"/>
      <c r="G33" s="27"/>
      <c r="H33" s="27"/>
      <c r="I33" s="48"/>
      <c r="J33" s="47"/>
      <c r="K33" s="47"/>
      <c r="M33" s="47"/>
      <c r="N33" s="76"/>
    </row>
    <row r="34" spans="2:14" x14ac:dyDescent="0.2">
      <c r="B34" s="46"/>
      <c r="C34" s="47" t="s">
        <v>100</v>
      </c>
      <c r="D34" s="82" t="s">
        <v>118</v>
      </c>
      <c r="E34" s="78" t="s">
        <v>67</v>
      </c>
      <c r="F34" s="27"/>
      <c r="G34" s="73" t="s">
        <v>119</v>
      </c>
      <c r="H34" s="73"/>
      <c r="I34" s="48"/>
      <c r="J34" s="47"/>
      <c r="K34" s="47"/>
      <c r="M34" s="47"/>
      <c r="N34" s="76"/>
    </row>
    <row r="35" spans="2:14" x14ac:dyDescent="0.2">
      <c r="B35" s="46"/>
      <c r="C35" s="47"/>
      <c r="D35" s="37"/>
      <c r="E35" s="34"/>
      <c r="F35" s="37"/>
      <c r="G35" s="78"/>
      <c r="H35" s="73"/>
      <c r="I35" s="48"/>
      <c r="J35" s="47"/>
      <c r="K35" s="47"/>
      <c r="M35" s="47"/>
      <c r="N35" s="76"/>
    </row>
    <row r="36" spans="2:14" x14ac:dyDescent="0.2">
      <c r="B36" s="46"/>
      <c r="C36" s="57" t="s">
        <v>46</v>
      </c>
      <c r="D36" s="42"/>
      <c r="E36" s="55"/>
      <c r="F36" s="37"/>
      <c r="G36" s="78"/>
      <c r="H36" s="73"/>
      <c r="I36" s="48"/>
      <c r="J36" s="47"/>
      <c r="K36" s="47"/>
      <c r="M36" s="47"/>
      <c r="N36" s="76"/>
    </row>
    <row r="37" spans="2:14" ht="15.75" x14ac:dyDescent="0.3">
      <c r="B37" s="46"/>
      <c r="C37" s="58" t="s">
        <v>72</v>
      </c>
      <c r="D37" s="81">
        <f>θfc_act</f>
        <v>0.27103999999999995</v>
      </c>
      <c r="E37" s="87" t="s">
        <v>102</v>
      </c>
      <c r="F37" s="37"/>
      <c r="G37" s="47"/>
      <c r="H37" s="47"/>
      <c r="I37" s="48"/>
      <c r="J37" s="47"/>
      <c r="K37" s="47"/>
      <c r="M37" s="47"/>
      <c r="N37" s="76"/>
    </row>
    <row r="38" spans="2:14" x14ac:dyDescent="0.2">
      <c r="B38" s="46"/>
      <c r="C38" s="58" t="s">
        <v>73</v>
      </c>
      <c r="D38" s="81">
        <f>_0.75θfc_act</f>
        <v>0.20327999999999996</v>
      </c>
      <c r="E38" s="87" t="s">
        <v>102</v>
      </c>
      <c r="F38" s="37"/>
      <c r="G38" s="47"/>
      <c r="H38" s="47"/>
      <c r="I38" s="48"/>
      <c r="J38" s="47"/>
      <c r="K38" s="47"/>
      <c r="M38" s="47"/>
      <c r="N38" s="76"/>
    </row>
    <row r="39" spans="2:14" x14ac:dyDescent="0.2">
      <c r="B39" s="46"/>
      <c r="C39" s="58"/>
      <c r="D39" s="81"/>
      <c r="E39" s="55"/>
      <c r="F39" s="37"/>
      <c r="G39" s="47"/>
      <c r="H39" s="47"/>
      <c r="I39" s="48"/>
      <c r="J39" s="47"/>
      <c r="K39" s="47"/>
      <c r="M39" s="47"/>
      <c r="N39" s="76"/>
    </row>
    <row r="40" spans="2:14" x14ac:dyDescent="0.2">
      <c r="B40" s="46"/>
      <c r="C40" s="70" t="s">
        <v>40</v>
      </c>
      <c r="D40" s="47"/>
      <c r="E40" s="34"/>
      <c r="F40" s="48"/>
      <c r="G40" s="48"/>
      <c r="H40" s="48"/>
      <c r="I40" s="48"/>
      <c r="J40" s="47"/>
      <c r="K40" s="47"/>
      <c r="M40" s="47"/>
      <c r="N40" s="76"/>
    </row>
    <row r="41" spans="2:14" ht="15.75" customHeight="1" x14ac:dyDescent="0.3">
      <c r="B41" s="46"/>
      <c r="C41" s="35" t="s">
        <v>55</v>
      </c>
      <c r="D41" s="71">
        <f>pF_0.75FC</f>
        <v>4.7909682367280926</v>
      </c>
      <c r="E41" s="49"/>
      <c r="F41" s="48"/>
      <c r="G41" s="48"/>
      <c r="H41" s="48"/>
      <c r="I41" s="48"/>
      <c r="J41" s="47"/>
      <c r="K41" s="47"/>
      <c r="M41" s="47"/>
      <c r="N41" s="76"/>
    </row>
    <row r="42" spans="2:14" x14ac:dyDescent="0.2">
      <c r="B42" s="50"/>
      <c r="C42" s="67"/>
      <c r="D42" s="63"/>
      <c r="E42" s="64"/>
      <c r="F42" s="53"/>
      <c r="G42" s="53"/>
      <c r="H42" s="53"/>
      <c r="I42" s="53"/>
      <c r="J42" s="51"/>
      <c r="K42" s="51"/>
      <c r="L42" s="51"/>
      <c r="M42" s="51"/>
      <c r="N42" s="77"/>
    </row>
    <row r="43" spans="2:14" x14ac:dyDescent="0.2">
      <c r="C43" s="47"/>
      <c r="D43" s="47"/>
      <c r="E43" s="34"/>
      <c r="F43" s="48"/>
      <c r="G43" s="48"/>
      <c r="H43" s="48"/>
      <c r="I43" s="48"/>
      <c r="J43" s="47"/>
      <c r="K43" s="47"/>
    </row>
    <row r="44" spans="2:14" x14ac:dyDescent="0.2">
      <c r="C44" s="40" t="s">
        <v>63</v>
      </c>
      <c r="E44" s="27"/>
      <c r="F44" s="27"/>
    </row>
    <row r="45" spans="2:14" x14ac:dyDescent="0.2">
      <c r="B45" s="65"/>
      <c r="C45" s="66" t="s">
        <v>39</v>
      </c>
      <c r="D45" s="43"/>
      <c r="E45" s="43"/>
      <c r="F45" s="43"/>
      <c r="G45" s="45"/>
      <c r="H45" s="45"/>
      <c r="I45" s="45"/>
      <c r="J45" s="43"/>
      <c r="K45" s="43"/>
      <c r="L45" s="43"/>
      <c r="M45" s="43"/>
      <c r="N45" s="75"/>
    </row>
    <row r="46" spans="2:14" x14ac:dyDescent="0.2">
      <c r="B46" s="46"/>
      <c r="C46" s="68" t="s">
        <v>3</v>
      </c>
      <c r="D46" s="83">
        <v>0</v>
      </c>
      <c r="E46" s="47"/>
      <c r="F46" s="47"/>
      <c r="G46" s="48"/>
      <c r="H46" s="48"/>
      <c r="I46" s="48"/>
      <c r="J46" s="47"/>
      <c r="K46" s="47"/>
      <c r="M46" s="47"/>
      <c r="N46" s="76"/>
    </row>
    <row r="47" spans="2:14" x14ac:dyDescent="0.2">
      <c r="B47" s="46"/>
      <c r="C47" s="47"/>
      <c r="D47" s="47"/>
      <c r="E47" s="47"/>
      <c r="F47" s="47"/>
      <c r="G47" s="48"/>
      <c r="H47" s="48"/>
      <c r="I47" s="48"/>
      <c r="J47" s="47"/>
      <c r="K47" s="47"/>
      <c r="M47" s="47"/>
      <c r="N47" s="76"/>
    </row>
    <row r="48" spans="2:14" x14ac:dyDescent="0.2">
      <c r="B48" s="46"/>
      <c r="C48" s="70" t="s">
        <v>40</v>
      </c>
      <c r="D48" s="37"/>
      <c r="E48" s="47"/>
      <c r="F48" s="47"/>
      <c r="G48" s="48"/>
      <c r="H48" s="48"/>
      <c r="I48" s="48"/>
      <c r="J48" s="47"/>
      <c r="K48" s="47"/>
      <c r="M48" s="47"/>
      <c r="N48" s="76"/>
    </row>
    <row r="49" spans="2:14" x14ac:dyDescent="0.2">
      <c r="B49" s="46"/>
      <c r="C49" s="33" t="s">
        <v>41</v>
      </c>
      <c r="D49" s="72">
        <f>θ_h</f>
        <v>0.76531551104517836</v>
      </c>
      <c r="E49" s="47"/>
      <c r="F49" s="47"/>
      <c r="G49" s="48"/>
      <c r="H49" s="48"/>
      <c r="I49" s="48"/>
      <c r="J49" s="47"/>
      <c r="K49" s="47"/>
      <c r="M49" s="47"/>
      <c r="N49" s="76"/>
    </row>
    <row r="50" spans="2:14" x14ac:dyDescent="0.2">
      <c r="B50" s="50"/>
      <c r="C50" s="51"/>
      <c r="D50" s="51"/>
      <c r="E50" s="52"/>
      <c r="F50" s="53"/>
      <c r="G50" s="53"/>
      <c r="H50" s="53"/>
      <c r="I50" s="53"/>
      <c r="J50" s="51"/>
      <c r="K50" s="51"/>
      <c r="L50" s="51"/>
      <c r="M50" s="51"/>
      <c r="N50" s="77"/>
    </row>
  </sheetData>
  <sheetProtection algorithmName="SHA-512" hashValue="6qj8x4biUWA7clYtdCUDeOyUyCoHzMAHtq9+dD2ut0g6uafSGvlhhk5JcEoTMU7y4ibd90VPxN/M05NDjBFZnQ==" saltValue="+GZLTwwpDIfYQhm/XIN4Pw==" spinCount="100000" sheet="1" objects="1" scenarios="1" selectLockedCells="1"/>
  <phoneticPr fontId="2" type="noConversion"/>
  <conditionalFormatting sqref="D17:E17">
    <cfRule type="expression" priority="1" stopIfTrue="1">
      <formula>AND(#REF!&lt;&gt;"",$D$17&lt;&gt;"")</formula>
    </cfRule>
  </conditionalFormatting>
  <conditionalFormatting sqref="G7">
    <cfRule type="cellIs" dxfId="1" priority="2" stopIfTrue="1" operator="notEqual">
      <formula>100</formula>
    </cfRule>
    <cfRule type="cellIs" dxfId="0" priority="3" stopIfTrue="1" operator="equal">
      <formula>100</formula>
    </cfRule>
  </conditionalFormatting>
  <dataValidations count="3">
    <dataValidation type="list" allowBlank="1" showInputMessage="1" showErrorMessage="1" sqref="F35:F39">
      <formula1>MWHC</formula1>
    </dataValidation>
    <dataValidation type="list" allowBlank="1" showInputMessage="1" showErrorMessage="1" errorTitle="Invalid entry" error="Select either pF 0, pF 1 or pF 2 from the pull down menu. Undo this entry by clicking Cancel or (Re)try again." sqref="D19">
      <formula1>pF_List</formula1>
    </dataValidation>
    <dataValidation type="list" allowBlank="1" showInputMessage="1" showErrorMessage="1" errorTitle="Invalid entry" error="Select either v/v or m/m from the pull down menu. Undo this entry by clicking Cancel or (Re)try again." sqref="D18 D34">
      <formula1>MWHC</formula1>
    </dataValidation>
  </dataValidations>
  <pageMargins left="0.75" right="0.75" top="1" bottom="1" header="0.5" footer="0.5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G36"/>
  <sheetViews>
    <sheetView workbookViewId="0"/>
  </sheetViews>
  <sheetFormatPr defaultRowHeight="12.75" x14ac:dyDescent="0.2"/>
  <cols>
    <col min="1" max="1" width="19" customWidth="1"/>
  </cols>
  <sheetData>
    <row r="1" spans="1:7" x14ac:dyDescent="0.2">
      <c r="A1" s="113" t="s">
        <v>125</v>
      </c>
      <c r="B1" s="112"/>
      <c r="C1" s="114"/>
      <c r="D1" s="115"/>
      <c r="E1" s="116"/>
    </row>
    <row r="2" spans="1:7" x14ac:dyDescent="0.2">
      <c r="A2" s="2"/>
      <c r="B2" s="134" t="s">
        <v>23</v>
      </c>
      <c r="C2" s="135"/>
      <c r="D2" s="134" t="s">
        <v>21</v>
      </c>
      <c r="E2" s="135"/>
      <c r="F2" s="132" t="s">
        <v>124</v>
      </c>
      <c r="G2" s="133"/>
    </row>
    <row r="3" spans="1:7" x14ac:dyDescent="0.2">
      <c r="A3" s="4"/>
      <c r="B3" s="136" t="s">
        <v>10</v>
      </c>
      <c r="C3" s="137"/>
      <c r="D3" s="136" t="s">
        <v>22</v>
      </c>
      <c r="E3" s="137"/>
      <c r="F3" s="120"/>
      <c r="G3" s="121"/>
    </row>
    <row r="4" spans="1:7" x14ac:dyDescent="0.2">
      <c r="A4" s="17" t="s">
        <v>117</v>
      </c>
      <c r="B4" s="15" t="s">
        <v>11</v>
      </c>
      <c r="C4" s="18" t="s">
        <v>12</v>
      </c>
      <c r="D4" s="15" t="s">
        <v>11</v>
      </c>
      <c r="E4" s="16" t="s">
        <v>12</v>
      </c>
      <c r="F4" s="122" t="s">
        <v>11</v>
      </c>
      <c r="G4" s="123" t="s">
        <v>12</v>
      </c>
    </row>
    <row r="5" spans="1:7" x14ac:dyDescent="0.2">
      <c r="A5" s="12" t="s">
        <v>15</v>
      </c>
      <c r="B5" s="19">
        <v>0</v>
      </c>
      <c r="C5" s="20">
        <v>18</v>
      </c>
      <c r="D5" s="19">
        <v>65</v>
      </c>
      <c r="E5" s="5">
        <v>100</v>
      </c>
      <c r="F5" s="124"/>
      <c r="G5" s="125"/>
    </row>
    <row r="6" spans="1:7" x14ac:dyDescent="0.2">
      <c r="A6" s="13" t="s">
        <v>16</v>
      </c>
      <c r="B6" s="21">
        <v>18</v>
      </c>
      <c r="C6" s="22">
        <v>35</v>
      </c>
      <c r="D6" s="21">
        <v>15</v>
      </c>
      <c r="E6" s="8">
        <v>82</v>
      </c>
      <c r="F6" s="124"/>
      <c r="G6" s="125"/>
    </row>
    <row r="7" spans="1:7" x14ac:dyDescent="0.2">
      <c r="A7" s="13" t="s">
        <v>16</v>
      </c>
      <c r="B7" s="21">
        <v>0</v>
      </c>
      <c r="C7" s="22">
        <v>18</v>
      </c>
      <c r="D7" s="21">
        <v>15</v>
      </c>
      <c r="E7" s="8">
        <v>65</v>
      </c>
      <c r="F7" s="124"/>
      <c r="G7" s="125"/>
    </row>
    <row r="8" spans="1:7" x14ac:dyDescent="0.2">
      <c r="A8" s="13" t="s">
        <v>17</v>
      </c>
      <c r="B8" s="21">
        <v>0</v>
      </c>
      <c r="C8" s="22">
        <v>35</v>
      </c>
      <c r="D8" s="21">
        <v>0</v>
      </c>
      <c r="E8" s="8">
        <v>15</v>
      </c>
      <c r="F8" s="124"/>
      <c r="G8" s="125"/>
    </row>
    <row r="9" spans="1:7" x14ac:dyDescent="0.2">
      <c r="A9" s="13" t="s">
        <v>18</v>
      </c>
      <c r="B9" s="21">
        <v>35</v>
      </c>
      <c r="C9" s="22">
        <v>60</v>
      </c>
      <c r="D9" s="21"/>
      <c r="E9" s="8"/>
      <c r="F9" s="124"/>
      <c r="G9" s="125"/>
    </row>
    <row r="10" spans="1:7" x14ac:dyDescent="0.2">
      <c r="A10" s="13" t="s">
        <v>19</v>
      </c>
      <c r="B10" s="21">
        <v>60</v>
      </c>
      <c r="C10" s="22">
        <v>100</v>
      </c>
      <c r="D10" s="21"/>
      <c r="E10" s="8"/>
      <c r="F10" s="124"/>
      <c r="G10" s="125"/>
    </row>
    <row r="11" spans="1:7" x14ac:dyDescent="0.2">
      <c r="A11" s="13" t="s">
        <v>20</v>
      </c>
      <c r="B11" s="21" t="s">
        <v>122</v>
      </c>
      <c r="C11" s="22">
        <v>60</v>
      </c>
      <c r="D11" s="21"/>
      <c r="E11" s="8"/>
      <c r="F11" s="126">
        <v>12</v>
      </c>
      <c r="G11" s="127">
        <v>18</v>
      </c>
    </row>
    <row r="12" spans="1:7" x14ac:dyDescent="0.2">
      <c r="A12" s="14" t="s">
        <v>20</v>
      </c>
      <c r="B12" s="118" t="s">
        <v>123</v>
      </c>
      <c r="C12" s="119">
        <v>100</v>
      </c>
      <c r="D12" s="23"/>
      <c r="E12" s="9"/>
      <c r="F12" s="128">
        <v>18</v>
      </c>
      <c r="G12" s="129">
        <v>100</v>
      </c>
    </row>
    <row r="13" spans="1:7" s="112" customFormat="1" x14ac:dyDescent="0.2">
      <c r="A13" s="10" t="s">
        <v>126</v>
      </c>
      <c r="B13" s="24"/>
      <c r="C13" s="25"/>
      <c r="D13" s="24"/>
      <c r="E13" s="26"/>
    </row>
    <row r="14" spans="1:7" s="112" customFormat="1" x14ac:dyDescent="0.2">
      <c r="A14" s="10" t="s">
        <v>127</v>
      </c>
      <c r="B14" s="24"/>
      <c r="C14" s="25"/>
      <c r="D14" s="24"/>
      <c r="E14" s="26"/>
    </row>
    <row r="15" spans="1:7" x14ac:dyDescent="0.2">
      <c r="A15" s="10" t="s">
        <v>76</v>
      </c>
      <c r="B15" s="24"/>
      <c r="C15" s="25"/>
      <c r="D15" s="24"/>
      <c r="E15" s="26"/>
    </row>
    <row r="16" spans="1:7" x14ac:dyDescent="0.2">
      <c r="A16" s="10" t="s">
        <v>77</v>
      </c>
      <c r="B16" s="6"/>
      <c r="C16" s="6"/>
      <c r="D16" s="7"/>
      <c r="E16" s="7"/>
    </row>
    <row r="17" spans="1:5" x14ac:dyDescent="0.2">
      <c r="A17" s="10" t="s">
        <v>78</v>
      </c>
      <c r="B17" s="6"/>
      <c r="C17" s="6"/>
      <c r="D17" s="7"/>
      <c r="E17" s="7"/>
    </row>
    <row r="18" spans="1:5" x14ac:dyDescent="0.2">
      <c r="A18" s="10" t="s">
        <v>79</v>
      </c>
      <c r="B18" s="6"/>
      <c r="C18" s="6"/>
      <c r="D18" s="7"/>
      <c r="E18" s="7"/>
    </row>
    <row r="19" spans="1:5" x14ac:dyDescent="0.2">
      <c r="A19" s="10"/>
      <c r="B19" s="6"/>
      <c r="C19" s="6"/>
      <c r="D19" s="7"/>
      <c r="E19" s="7"/>
    </row>
    <row r="20" spans="1:5" x14ac:dyDescent="0.2">
      <c r="A20" s="61" t="s">
        <v>85</v>
      </c>
      <c r="B20" s="6"/>
      <c r="C20" s="6"/>
      <c r="D20" s="7"/>
      <c r="E20" s="7"/>
    </row>
    <row r="21" spans="1:5" x14ac:dyDescent="0.2">
      <c r="A21" t="s">
        <v>88</v>
      </c>
      <c r="B21" s="6">
        <f>sand</f>
        <v>70</v>
      </c>
      <c r="C21" s="6" t="s">
        <v>90</v>
      </c>
      <c r="D21" s="7">
        <f>SUM(B21:B23)</f>
        <v>100</v>
      </c>
      <c r="E21" s="7"/>
    </row>
    <row r="22" spans="1:5" x14ac:dyDescent="0.2">
      <c r="A22" t="s">
        <v>86</v>
      </c>
      <c r="B22" s="6">
        <f>silt</f>
        <v>20</v>
      </c>
      <c r="C22" s="6"/>
      <c r="D22" s="7"/>
      <c r="E22" s="7"/>
    </row>
    <row r="23" spans="1:5" x14ac:dyDescent="0.2">
      <c r="A23" t="s">
        <v>89</v>
      </c>
      <c r="B23" s="6">
        <f>clay</f>
        <v>10</v>
      </c>
      <c r="C23" s="6"/>
      <c r="D23" s="7"/>
      <c r="E23" s="7"/>
    </row>
    <row r="24" spans="1:5" x14ac:dyDescent="0.2">
      <c r="A24" t="s">
        <v>87</v>
      </c>
      <c r="B24" s="6">
        <f>organic_matter</f>
        <v>15</v>
      </c>
      <c r="C24" s="6"/>
      <c r="D24" s="7"/>
      <c r="E24" s="7"/>
    </row>
    <row r="25" spans="1:5" x14ac:dyDescent="0.2">
      <c r="A25" t="s">
        <v>128</v>
      </c>
      <c r="B25" s="6" t="str">
        <f>IF(Sum&lt;&gt;100,"Make the sum of %sand, %silt and %clay equal to 100","")</f>
        <v/>
      </c>
      <c r="C25" s="6"/>
      <c r="D25" s="7"/>
      <c r="E25" s="7"/>
    </row>
    <row r="26" spans="1:5" x14ac:dyDescent="0.2">
      <c r="A26" s="1"/>
      <c r="B26" s="6"/>
      <c r="C26" s="6"/>
      <c r="D26" s="7"/>
      <c r="E26" s="7"/>
    </row>
    <row r="27" spans="1:5" x14ac:dyDescent="0.2">
      <c r="A27" s="84" t="s">
        <v>75</v>
      </c>
      <c r="B27" s="6"/>
      <c r="C27" s="6"/>
      <c r="D27" s="7"/>
      <c r="E27" s="7"/>
    </row>
    <row r="28" spans="1:5" x14ac:dyDescent="0.2">
      <c r="A28" s="130">
        <f>IF(AND(clay&lt;$C$11,organic_matter&gt;=0.1*clay+12),1,IF(AND(clay&gt;=$B$12,organic_matter&gt;=18),1,0))</f>
        <v>1</v>
      </c>
      <c r="B28" s="6" t="s">
        <v>20</v>
      </c>
      <c r="C28" s="6"/>
      <c r="D28" s="7"/>
      <c r="E28" s="7"/>
    </row>
    <row r="29" spans="1:5" x14ac:dyDescent="0.2">
      <c r="A29" s="3">
        <f>IF(AND($A$28=0,AND(clay&gt;=$B$5,clay&lt;$C$5),AND(sand&gt;=$D$5,sand&lt;=$E$5)),1,0)</f>
        <v>0</v>
      </c>
      <c r="B29" s="1" t="s">
        <v>15</v>
      </c>
      <c r="E29" s="7"/>
    </row>
    <row r="30" spans="1:5" x14ac:dyDescent="0.2">
      <c r="A30" s="3">
        <f>IF(OR((AND(AND(clay&gt;=$B$6,clay&lt;$C$6),AND(sand&gt;=$D$6,sand&lt;=$E$6))),(AND(AND(clay&gt;=$B$7,clay&lt;$C$7),AND(sand&gt;=$D$7,sand&lt;$E$7)))),1,0)</f>
        <v>0</v>
      </c>
      <c r="B30" s="1" t="s">
        <v>16</v>
      </c>
      <c r="E30" s="7"/>
    </row>
    <row r="31" spans="1:5" x14ac:dyDescent="0.2">
      <c r="A31" s="3">
        <f>IF(AND($A$28=0,AND(clay&gt;=$B$8,clay&lt;$C$8),AND(sand&gt;=$D$8,sand&lt;$E$8)),1,0)</f>
        <v>0</v>
      </c>
      <c r="B31" s="1" t="s">
        <v>17</v>
      </c>
      <c r="C31" s="93"/>
      <c r="E31" s="7"/>
    </row>
    <row r="32" spans="1:5" x14ac:dyDescent="0.2">
      <c r="A32" s="3">
        <f>IF(AND($A$28=0,clay&gt;=$B$9,clay&lt;$C$9),1,0)</f>
        <v>0</v>
      </c>
      <c r="B32" s="1" t="s">
        <v>18</v>
      </c>
      <c r="C32" s="93"/>
      <c r="E32" s="7"/>
    </row>
    <row r="33" spans="1:5" x14ac:dyDescent="0.2">
      <c r="A33" s="3">
        <f>IF(AND($A$28=0,clay&gt;=$B$10,clay&lt;=$C$10),1,0)</f>
        <v>0</v>
      </c>
      <c r="B33" s="1" t="s">
        <v>19</v>
      </c>
      <c r="C33" s="93"/>
      <c r="E33" s="7"/>
    </row>
    <row r="35" spans="1:5" x14ac:dyDescent="0.2">
      <c r="A35" t="s">
        <v>80</v>
      </c>
      <c r="B35" s="11" t="str">
        <f>IF(Sum&lt;&gt;100,"Error",VLOOKUP(1,A28:B33,2,FALSE))</f>
        <v>Organic</v>
      </c>
    </row>
    <row r="36" spans="1:5" x14ac:dyDescent="0.2">
      <c r="B36" s="11"/>
    </row>
  </sheetData>
  <sheetProtection password="DE86" sheet="1" objects="1" scenarios="1"/>
  <mergeCells count="5">
    <mergeCell ref="F2:G2"/>
    <mergeCell ref="B2:C2"/>
    <mergeCell ref="D2:E2"/>
    <mergeCell ref="B3:C3"/>
    <mergeCell ref="D3:E3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J52"/>
  <sheetViews>
    <sheetView workbookViewId="0"/>
  </sheetViews>
  <sheetFormatPr defaultRowHeight="12.75" x14ac:dyDescent="0.2"/>
  <cols>
    <col min="1" max="1" width="21.5703125" style="1" customWidth="1"/>
    <col min="2" max="2" width="11" style="3" bestFit="1" customWidth="1"/>
    <col min="3" max="3" width="11.42578125" style="1" customWidth="1"/>
    <col min="4" max="4" width="9.42578125" style="1" customWidth="1"/>
    <col min="5" max="5" width="9.140625" style="1"/>
    <col min="6" max="6" width="10.140625" style="1" customWidth="1"/>
    <col min="7" max="11" width="9.140625" style="1"/>
    <col min="12" max="12" width="12.85546875" style="1" customWidth="1"/>
    <col min="13" max="21" width="11.140625" style="1" bestFit="1" customWidth="1"/>
    <col min="22" max="16384" width="9.140625" style="1"/>
  </cols>
  <sheetData>
    <row r="1" spans="1:10" x14ac:dyDescent="0.2">
      <c r="A1" s="1" t="s">
        <v>14</v>
      </c>
    </row>
    <row r="2" spans="1:10" x14ac:dyDescent="0.2">
      <c r="A2" s="1" t="s">
        <v>82</v>
      </c>
    </row>
    <row r="3" spans="1:10" ht="15.75" x14ac:dyDescent="0.3">
      <c r="A3" s="88" t="s">
        <v>84</v>
      </c>
      <c r="B3" s="30" t="s">
        <v>7</v>
      </c>
      <c r="C3" s="89" t="s">
        <v>8</v>
      </c>
      <c r="D3" s="89" t="s">
        <v>9</v>
      </c>
      <c r="E3" s="89" t="s">
        <v>5</v>
      </c>
      <c r="F3" s="89" t="s">
        <v>6</v>
      </c>
      <c r="G3" s="89" t="s">
        <v>4</v>
      </c>
      <c r="H3" s="89" t="s">
        <v>0</v>
      </c>
      <c r="I3" s="89" t="s">
        <v>1</v>
      </c>
      <c r="J3" s="89" t="s">
        <v>2</v>
      </c>
    </row>
    <row r="4" spans="1:10" x14ac:dyDescent="0.2">
      <c r="A4" s="93" t="s">
        <v>15</v>
      </c>
      <c r="B4" s="97">
        <f t="shared" ref="B4:B9" si="0">pF_input</f>
        <v>0</v>
      </c>
      <c r="C4" s="98">
        <f t="shared" ref="C4:C9" si="1">-(10^$B4)</f>
        <v>-1</v>
      </c>
      <c r="D4" s="95">
        <f t="shared" ref="D4:D9" si="2">$E4+(($F4-$E4)/((1+(ABS($H4*$C4))^$J4)^(1-1/$J4)))</f>
        <v>0.40185011761700656</v>
      </c>
      <c r="E4" s="1">
        <v>2.5000000000000001E-2</v>
      </c>
      <c r="F4" s="1">
        <v>0.40300000000000002</v>
      </c>
      <c r="G4" s="1">
        <v>60</v>
      </c>
      <c r="H4" s="1">
        <v>3.8300000000000001E-2</v>
      </c>
      <c r="I4" s="1">
        <v>1.25</v>
      </c>
      <c r="J4" s="1">
        <v>1.3774</v>
      </c>
    </row>
    <row r="5" spans="1:10" x14ac:dyDescent="0.2">
      <c r="A5" s="93" t="s">
        <v>16</v>
      </c>
      <c r="B5" s="97">
        <f t="shared" si="0"/>
        <v>0</v>
      </c>
      <c r="C5" s="98">
        <f t="shared" si="1"/>
        <v>-1</v>
      </c>
      <c r="D5" s="95">
        <f t="shared" si="2"/>
        <v>0.43790790517409173</v>
      </c>
      <c r="E5" s="1">
        <v>0.01</v>
      </c>
      <c r="F5" s="1">
        <v>0.439</v>
      </c>
      <c r="G5" s="1">
        <v>12.061</v>
      </c>
      <c r="H5" s="1">
        <v>3.1399999999999997E-2</v>
      </c>
      <c r="I5" s="1">
        <v>-2.3420999999999998</v>
      </c>
      <c r="J5" s="1">
        <v>1.1803999999999999</v>
      </c>
    </row>
    <row r="6" spans="1:10" x14ac:dyDescent="0.2">
      <c r="A6" s="93" t="s">
        <v>17</v>
      </c>
      <c r="B6" s="97">
        <f t="shared" si="0"/>
        <v>0</v>
      </c>
      <c r="C6" s="98">
        <f t="shared" si="1"/>
        <v>-1</v>
      </c>
      <c r="D6" s="95">
        <f t="shared" si="2"/>
        <v>0.42979119555251455</v>
      </c>
      <c r="E6" s="1">
        <v>0.01</v>
      </c>
      <c r="F6" s="1">
        <v>0.43</v>
      </c>
      <c r="G6" s="1">
        <v>2.2719999999999998</v>
      </c>
      <c r="H6" s="1">
        <v>8.3000000000000001E-3</v>
      </c>
      <c r="I6" s="1">
        <v>-0.58840000000000003</v>
      </c>
      <c r="J6" s="1">
        <v>1.2539</v>
      </c>
    </row>
    <row r="7" spans="1:10" x14ac:dyDescent="0.2">
      <c r="A7" s="93" t="s">
        <v>18</v>
      </c>
      <c r="B7" s="97">
        <f t="shared" si="0"/>
        <v>0</v>
      </c>
      <c r="C7" s="98">
        <f t="shared" si="1"/>
        <v>-1</v>
      </c>
      <c r="D7" s="95">
        <f t="shared" si="2"/>
        <v>0.51878623362467668</v>
      </c>
      <c r="E7" s="1">
        <v>0.01</v>
      </c>
      <c r="F7" s="1">
        <v>0.52</v>
      </c>
      <c r="G7" s="1">
        <v>24.8</v>
      </c>
      <c r="H7" s="1">
        <v>3.6700000000000003E-2</v>
      </c>
      <c r="I7" s="1">
        <v>-1.9772000000000001</v>
      </c>
      <c r="J7" s="1">
        <v>1.1012</v>
      </c>
    </row>
    <row r="8" spans="1:10" x14ac:dyDescent="0.2">
      <c r="A8" s="93" t="s">
        <v>19</v>
      </c>
      <c r="B8" s="97">
        <f t="shared" si="0"/>
        <v>0</v>
      </c>
      <c r="C8" s="98">
        <f t="shared" si="1"/>
        <v>-1</v>
      </c>
      <c r="D8" s="95">
        <f t="shared" si="2"/>
        <v>0.61298019101459245</v>
      </c>
      <c r="E8" s="1">
        <v>0.01</v>
      </c>
      <c r="F8" s="1">
        <v>0.61399999999999999</v>
      </c>
      <c r="G8" s="1">
        <v>15</v>
      </c>
      <c r="H8" s="1">
        <v>2.6499999999999999E-2</v>
      </c>
      <c r="I8" s="1">
        <v>2.5</v>
      </c>
      <c r="J8" s="1">
        <v>1.1032999999999999</v>
      </c>
    </row>
    <row r="9" spans="1:10" x14ac:dyDescent="0.2">
      <c r="A9" s="93" t="s">
        <v>20</v>
      </c>
      <c r="B9" s="97">
        <f t="shared" si="0"/>
        <v>0</v>
      </c>
      <c r="C9" s="98">
        <f t="shared" si="1"/>
        <v>-1</v>
      </c>
      <c r="D9" s="95">
        <f t="shared" si="2"/>
        <v>0.76531551104517836</v>
      </c>
      <c r="E9" s="1">
        <v>0.01</v>
      </c>
      <c r="F9" s="1">
        <v>0.76600000000000001</v>
      </c>
      <c r="G9" s="1">
        <v>8</v>
      </c>
      <c r="H9" s="1">
        <v>1.2999999999999999E-2</v>
      </c>
      <c r="I9" s="1">
        <v>0.4</v>
      </c>
      <c r="J9" s="1">
        <v>1.2039</v>
      </c>
    </row>
    <row r="12" spans="1:10" x14ac:dyDescent="0.2">
      <c r="A12" s="1" t="s">
        <v>81</v>
      </c>
    </row>
    <row r="13" spans="1:10" ht="15.75" x14ac:dyDescent="0.3">
      <c r="A13" s="38" t="s">
        <v>84</v>
      </c>
      <c r="B13" s="89" t="s">
        <v>25</v>
      </c>
      <c r="C13" s="89" t="s">
        <v>26</v>
      </c>
      <c r="D13" s="89" t="s">
        <v>3</v>
      </c>
      <c r="E13" s="89" t="s">
        <v>56</v>
      </c>
      <c r="F13" s="99" t="s">
        <v>57</v>
      </c>
      <c r="G13" s="89" t="s">
        <v>58</v>
      </c>
    </row>
    <row r="14" spans="1:10" x14ac:dyDescent="0.2">
      <c r="A14" s="93" t="s">
        <v>15</v>
      </c>
      <c r="B14" s="100">
        <f t="shared" ref="B14:B19" si="3">θact</f>
        <v>0.14191872</v>
      </c>
      <c r="C14" s="98">
        <f t="shared" ref="C14:C19" si="4">((($F4-$E4)/($B14-$E4))^($J4/($J4-1))-1)^(1/$J4)/ABS($H4)</f>
        <v>579.0682244582872</v>
      </c>
      <c r="D14" s="98">
        <f t="shared" ref="D14:D19" si="5">LOG(C14)</f>
        <v>2.7627297342978281</v>
      </c>
      <c r="E14" s="96">
        <f t="shared" ref="E14:E19" si="6">θfc_act</f>
        <v>0.27103999999999995</v>
      </c>
      <c r="F14" s="96">
        <f t="shared" ref="F14:F19" si="7">_0.75θfc_act</f>
        <v>0.20327999999999996</v>
      </c>
      <c r="G14" s="96">
        <f t="shared" ref="G14:G19" si="8">LOG(((($F4-$E4)/($F14-$E4))^($J4/($J4-1))-1)^(1/$J4)/ABS($H4))</f>
        <v>2.2606542988359828</v>
      </c>
    </row>
    <row r="15" spans="1:10" x14ac:dyDescent="0.2">
      <c r="A15" s="93" t="s">
        <v>16</v>
      </c>
      <c r="B15" s="100">
        <f t="shared" si="3"/>
        <v>0.14191872</v>
      </c>
      <c r="C15" s="98">
        <f t="shared" si="4"/>
        <v>21972.533748582086</v>
      </c>
      <c r="D15" s="98">
        <f t="shared" si="5"/>
        <v>4.3418801401967837</v>
      </c>
      <c r="E15" s="96">
        <f t="shared" si="6"/>
        <v>0.27103999999999995</v>
      </c>
      <c r="F15" s="96">
        <f t="shared" si="7"/>
        <v>0.20327999999999996</v>
      </c>
      <c r="G15" s="96">
        <f t="shared" si="8"/>
        <v>3.420528382957821</v>
      </c>
    </row>
    <row r="16" spans="1:10" x14ac:dyDescent="0.2">
      <c r="A16" s="93" t="s">
        <v>17</v>
      </c>
      <c r="B16" s="100">
        <f t="shared" si="3"/>
        <v>0.14191872</v>
      </c>
      <c r="C16" s="98">
        <f t="shared" si="4"/>
        <v>11498.814023362633</v>
      </c>
      <c r="D16" s="98">
        <f t="shared" si="5"/>
        <v>4.0606530499475317</v>
      </c>
      <c r="E16" s="96">
        <f t="shared" si="6"/>
        <v>0.27103999999999995</v>
      </c>
      <c r="F16" s="96">
        <f t="shared" si="7"/>
        <v>0.20327999999999996</v>
      </c>
      <c r="G16" s="96">
        <f t="shared" si="8"/>
        <v>3.4008818928776523</v>
      </c>
    </row>
    <row r="17" spans="1:9" x14ac:dyDescent="0.2">
      <c r="A17" s="93" t="s">
        <v>18</v>
      </c>
      <c r="B17" s="100">
        <f t="shared" si="3"/>
        <v>0.14191872</v>
      </c>
      <c r="C17" s="98">
        <f t="shared" si="4"/>
        <v>17311521.181728113</v>
      </c>
      <c r="D17" s="98">
        <f t="shared" si="5"/>
        <v>7.238335231468926</v>
      </c>
      <c r="E17" s="96">
        <f t="shared" si="6"/>
        <v>0.27103999999999995</v>
      </c>
      <c r="F17" s="96">
        <f t="shared" si="7"/>
        <v>0.20327999999999996</v>
      </c>
      <c r="G17" s="96">
        <f t="shared" si="8"/>
        <v>5.5991898841203316</v>
      </c>
    </row>
    <row r="18" spans="1:9" x14ac:dyDescent="0.2">
      <c r="A18" s="93" t="s">
        <v>19</v>
      </c>
      <c r="B18" s="100">
        <f t="shared" si="3"/>
        <v>0.14191872</v>
      </c>
      <c r="C18" s="98">
        <f t="shared" si="4"/>
        <v>93968786.012279898</v>
      </c>
      <c r="D18" s="98">
        <f t="shared" si="5"/>
        <v>7.9729836162181922</v>
      </c>
      <c r="E18" s="96">
        <f t="shared" si="6"/>
        <v>0.27103999999999995</v>
      </c>
      <c r="F18" s="96">
        <f t="shared" si="7"/>
        <v>0.20327999999999996</v>
      </c>
      <c r="G18" s="96">
        <f t="shared" si="8"/>
        <v>6.3671685583320947</v>
      </c>
    </row>
    <row r="19" spans="1:9" x14ac:dyDescent="0.2">
      <c r="A19" s="93" t="s">
        <v>20</v>
      </c>
      <c r="B19" s="100">
        <f t="shared" si="3"/>
        <v>0.14191872</v>
      </c>
      <c r="C19" s="98">
        <f t="shared" si="4"/>
        <v>402355.02843834768</v>
      </c>
      <c r="D19" s="98">
        <f t="shared" si="5"/>
        <v>5.6046094332990632</v>
      </c>
      <c r="E19" s="96">
        <f t="shared" si="6"/>
        <v>0.27103999999999995</v>
      </c>
      <c r="F19" s="96">
        <f t="shared" si="7"/>
        <v>0.20327999999999996</v>
      </c>
      <c r="G19" s="96">
        <f t="shared" si="8"/>
        <v>4.7909682367280926</v>
      </c>
    </row>
    <row r="22" spans="1:9" x14ac:dyDescent="0.2">
      <c r="A22" s="62" t="s">
        <v>61</v>
      </c>
      <c r="B22" s="1"/>
      <c r="I22" s="101" t="s">
        <v>52</v>
      </c>
    </row>
    <row r="23" spans="1:9" x14ac:dyDescent="0.2">
      <c r="A23" s="102" t="s">
        <v>39</v>
      </c>
      <c r="B23" s="1"/>
      <c r="I23" s="1" t="s">
        <v>51</v>
      </c>
    </row>
    <row r="24" spans="1:9" x14ac:dyDescent="0.2">
      <c r="A24" s="1" t="s">
        <v>60</v>
      </c>
      <c r="B24" s="1">
        <f>MWHC_input</f>
        <v>43.52</v>
      </c>
      <c r="C24" s="1" t="s">
        <v>24</v>
      </c>
      <c r="I24" s="1" t="s">
        <v>118</v>
      </c>
    </row>
    <row r="25" spans="1:9" x14ac:dyDescent="0.2">
      <c r="A25" s="1" t="s">
        <v>114</v>
      </c>
      <c r="B25" s="103" t="str">
        <f>vv_mm_MWHC</f>
        <v>v/v</v>
      </c>
      <c r="D25" s="1" t="s">
        <v>121</v>
      </c>
    </row>
    <row r="26" spans="1:9" x14ac:dyDescent="0.2">
      <c r="A26" s="1" t="s">
        <v>108</v>
      </c>
      <c r="B26" s="103" t="str">
        <f>pF_at_MWHC</f>
        <v>pF 0</v>
      </c>
      <c r="D26" s="1" t="s">
        <v>109</v>
      </c>
    </row>
    <row r="27" spans="1:9" x14ac:dyDescent="0.2">
      <c r="A27" s="1" t="s">
        <v>32</v>
      </c>
      <c r="B27" s="1">
        <f>Percentage_MWHC</f>
        <v>32.61</v>
      </c>
      <c r="C27" s="1" t="s">
        <v>24</v>
      </c>
      <c r="D27" s="1" t="s">
        <v>53</v>
      </c>
      <c r="I27" s="1" t="s">
        <v>97</v>
      </c>
    </row>
    <row r="28" spans="1:9" x14ac:dyDescent="0.2">
      <c r="A28" s="1" t="s">
        <v>47</v>
      </c>
      <c r="B28" s="1">
        <v>1.5</v>
      </c>
      <c r="C28" s="1" t="s">
        <v>28</v>
      </c>
      <c r="D28" s="1" t="s">
        <v>48</v>
      </c>
      <c r="I28" s="1" t="s">
        <v>98</v>
      </c>
    </row>
    <row r="29" spans="1:9" x14ac:dyDescent="0.2">
      <c r="A29" s="1" t="s">
        <v>50</v>
      </c>
      <c r="B29" s="1">
        <f>RHO_act</f>
        <v>1.4</v>
      </c>
      <c r="C29" s="1" t="s">
        <v>28</v>
      </c>
      <c r="D29" s="1" t="s">
        <v>30</v>
      </c>
      <c r="I29" s="1" t="s">
        <v>99</v>
      </c>
    </row>
    <row r="30" spans="1:9" x14ac:dyDescent="0.2">
      <c r="A30" s="102" t="s">
        <v>83</v>
      </c>
      <c r="B30" s="1"/>
    </row>
    <row r="31" spans="1:9" x14ac:dyDescent="0.2">
      <c r="A31" s="1" t="s">
        <v>59</v>
      </c>
      <c r="B31" s="1">
        <f>MWHC_input/100</f>
        <v>0.43520000000000003</v>
      </c>
    </row>
    <row r="32" spans="1:9" x14ac:dyDescent="0.2">
      <c r="A32" s="1" t="s">
        <v>29</v>
      </c>
      <c r="B32" s="96">
        <f>IF(vv_mm_MWHC="w/w",IF(RHO_act=0,MWHC_fraction*RHO_default,MWHC_fraction*RHO_act),MWHC_fraction)</f>
        <v>0.43520000000000003</v>
      </c>
      <c r="D32" s="1" t="s">
        <v>34</v>
      </c>
    </row>
    <row r="33" spans="1:4" x14ac:dyDescent="0.2">
      <c r="A33" s="1" t="s">
        <v>110</v>
      </c>
      <c r="B33" s="96">
        <f>IF(pF_at_MWHC="pF 0",1,IF(pF_at_MWHC="pF 1",VLOOKUP(SoiltypeHYPRES,'Correction MWHC'!A1:R7,17,FALSE),VLOOKUP(SoiltypeHYPRES,'Correction MWHC'!A1:R7,18,FALSE)))</f>
        <v>1</v>
      </c>
      <c r="D33" s="1" t="s">
        <v>113</v>
      </c>
    </row>
    <row r="34" spans="1:4" x14ac:dyDescent="0.2">
      <c r="A34" s="1" t="s">
        <v>111</v>
      </c>
      <c r="B34" s="1">
        <f>MWHC_calc*Correction_factor_MWHC</f>
        <v>0.43520000000000003</v>
      </c>
      <c r="D34" s="104" t="s">
        <v>112</v>
      </c>
    </row>
    <row r="35" spans="1:4" ht="15.75" x14ac:dyDescent="0.3">
      <c r="A35" s="105" t="s">
        <v>43</v>
      </c>
      <c r="B35" s="106">
        <f>MWHC_vv_pF0*Percentage_MWHC/100</f>
        <v>0.14191872</v>
      </c>
      <c r="D35" s="1" t="s">
        <v>44</v>
      </c>
    </row>
    <row r="36" spans="1:4" ht="15.75" x14ac:dyDescent="0.3">
      <c r="A36" s="1" t="s">
        <v>45</v>
      </c>
      <c r="B36" s="94">
        <f>VLOOKUP(SoiltypeHYPRES,A14:D19,4,FALSE)</f>
        <v>5.6046094332990632</v>
      </c>
    </row>
    <row r="37" spans="1:4" x14ac:dyDescent="0.2">
      <c r="B37" s="1"/>
    </row>
    <row r="38" spans="1:4" x14ac:dyDescent="0.2">
      <c r="A38" s="62" t="s">
        <v>62</v>
      </c>
      <c r="B38" s="1"/>
    </row>
    <row r="39" spans="1:4" x14ac:dyDescent="0.2">
      <c r="A39" s="102" t="s">
        <v>39</v>
      </c>
      <c r="B39" s="1"/>
    </row>
    <row r="40" spans="1:4" ht="15.75" x14ac:dyDescent="0.3">
      <c r="A40" s="105" t="s">
        <v>68</v>
      </c>
      <c r="B40" s="1">
        <f>θ_fc_input</f>
        <v>19.36</v>
      </c>
      <c r="C40" s="1" t="s">
        <v>24</v>
      </c>
    </row>
    <row r="41" spans="1:4" x14ac:dyDescent="0.2">
      <c r="A41" s="1" t="s">
        <v>115</v>
      </c>
      <c r="B41" s="103" t="str">
        <f>vv_mm_FC</f>
        <v>w/w</v>
      </c>
      <c r="D41" s="1" t="s">
        <v>121</v>
      </c>
    </row>
    <row r="42" spans="1:4" x14ac:dyDescent="0.2">
      <c r="A42" s="102" t="s">
        <v>83</v>
      </c>
    </row>
    <row r="43" spans="1:4" ht="15.75" x14ac:dyDescent="0.3">
      <c r="A43" s="105" t="s">
        <v>69</v>
      </c>
      <c r="B43" s="1">
        <f>θ_fc_input/100</f>
        <v>0.19359999999999999</v>
      </c>
    </row>
    <row r="44" spans="1:4" ht="15.75" x14ac:dyDescent="0.3">
      <c r="A44" s="105" t="s">
        <v>71</v>
      </c>
      <c r="B44" s="96">
        <f>IF(vv_mm_FC="w/w",IF(RHO_act=0,θ_fc_fraction*RHO_default,θ_fc_fraction*RHO_act),θ_fc_fraction)</f>
        <v>0.27103999999999995</v>
      </c>
    </row>
    <row r="45" spans="1:4" ht="15.75" x14ac:dyDescent="0.3">
      <c r="A45" s="107" t="s">
        <v>74</v>
      </c>
      <c r="B45" s="96">
        <f>0.75*θfc_act</f>
        <v>0.20327999999999996</v>
      </c>
    </row>
    <row r="46" spans="1:4" ht="15.75" x14ac:dyDescent="0.3">
      <c r="A46" s="105" t="s">
        <v>70</v>
      </c>
      <c r="B46" s="94">
        <f>VLOOKUP(SoiltypeHYPRES,A14:G19,7,FALSE)</f>
        <v>4.7909682367280926</v>
      </c>
    </row>
    <row r="47" spans="1:4" x14ac:dyDescent="0.2">
      <c r="A47" s="105"/>
      <c r="B47" s="94"/>
    </row>
    <row r="48" spans="1:4" x14ac:dyDescent="0.2">
      <c r="A48" s="108" t="s">
        <v>63</v>
      </c>
      <c r="B48" s="1"/>
    </row>
    <row r="49" spans="1:2" x14ac:dyDescent="0.2">
      <c r="A49" s="102" t="s">
        <v>39</v>
      </c>
      <c r="B49" s="109"/>
    </row>
    <row r="50" spans="1:2" x14ac:dyDescent="0.2">
      <c r="A50" s="1" t="s">
        <v>3</v>
      </c>
      <c r="B50" s="3">
        <f>pF_input</f>
        <v>0</v>
      </c>
    </row>
    <row r="51" spans="1:2" x14ac:dyDescent="0.2">
      <c r="A51" s="102" t="s">
        <v>83</v>
      </c>
    </row>
    <row r="52" spans="1:2" x14ac:dyDescent="0.2">
      <c r="A52" s="110" t="s">
        <v>91</v>
      </c>
      <c r="B52" s="111">
        <f>VLOOKUP(SoiltypeHYPRES,A4:J9,4,FALSE)</f>
        <v>0.76531551104517836</v>
      </c>
    </row>
  </sheetData>
  <sheetProtection password="DE86" sheet="1" objects="1" scenarios="1"/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R7"/>
  <sheetViews>
    <sheetView workbookViewId="0"/>
  </sheetViews>
  <sheetFormatPr defaultRowHeight="12.75" x14ac:dyDescent="0.2"/>
  <cols>
    <col min="1" max="1" width="15.5703125" style="1" bestFit="1" customWidth="1"/>
    <col min="2" max="16384" width="9.140625" style="1"/>
  </cols>
  <sheetData>
    <row r="1" spans="1:18" ht="15.75" x14ac:dyDescent="0.3">
      <c r="A1" s="88" t="s">
        <v>117</v>
      </c>
      <c r="B1" s="89" t="s">
        <v>5</v>
      </c>
      <c r="C1" s="89" t="s">
        <v>6</v>
      </c>
      <c r="D1" s="89" t="s">
        <v>4</v>
      </c>
      <c r="E1" s="89" t="s">
        <v>0</v>
      </c>
      <c r="F1" s="89" t="s">
        <v>1</v>
      </c>
      <c r="G1" s="89" t="s">
        <v>2</v>
      </c>
      <c r="H1" s="90" t="s">
        <v>7</v>
      </c>
      <c r="I1" s="91" t="s">
        <v>8</v>
      </c>
      <c r="J1" s="92" t="s">
        <v>103</v>
      </c>
      <c r="K1" s="90" t="s">
        <v>7</v>
      </c>
      <c r="L1" s="91" t="s">
        <v>8</v>
      </c>
      <c r="M1" s="92" t="s">
        <v>104</v>
      </c>
      <c r="N1" s="90" t="s">
        <v>7</v>
      </c>
      <c r="O1" s="91" t="s">
        <v>8</v>
      </c>
      <c r="P1" s="92" t="s">
        <v>105</v>
      </c>
      <c r="Q1" s="92" t="s">
        <v>106</v>
      </c>
      <c r="R1" s="92" t="s">
        <v>107</v>
      </c>
    </row>
    <row r="2" spans="1:18" x14ac:dyDescent="0.2">
      <c r="A2" s="93" t="s">
        <v>15</v>
      </c>
      <c r="B2" s="1">
        <v>2.5000000000000001E-2</v>
      </c>
      <c r="C2" s="1">
        <v>0.40300000000000002</v>
      </c>
      <c r="D2" s="1">
        <v>60</v>
      </c>
      <c r="E2" s="1">
        <v>3.8300000000000001E-2</v>
      </c>
      <c r="F2" s="1">
        <v>1.25</v>
      </c>
      <c r="G2" s="1">
        <v>1.3774</v>
      </c>
      <c r="H2" s="94">
        <v>0</v>
      </c>
      <c r="I2" s="94">
        <f t="shared" ref="I2:I7" si="0">-(10^H2)</f>
        <v>-1</v>
      </c>
      <c r="J2" s="95">
        <f t="shared" ref="J2:J7" si="1">$B2+(($C2-$B2)/((1+(ABS($E2*$I2))^$G2)^(1-1/$G2)))</f>
        <v>0.40185011761700656</v>
      </c>
      <c r="K2" s="94">
        <v>1</v>
      </c>
      <c r="L2" s="94">
        <f t="shared" ref="L2:L7" si="2">-(10^K2)</f>
        <v>-10</v>
      </c>
      <c r="M2" s="95">
        <f t="shared" ref="M2:M7" si="3">$B2+(($C2-$B2)/((1+(ABS($E2*$L2))^$G2)^(1-1/$G2)))</f>
        <v>0.37929658388876575</v>
      </c>
      <c r="N2" s="94">
        <v>2</v>
      </c>
      <c r="O2" s="94">
        <f t="shared" ref="O2:O7" si="4">-(10^N2)</f>
        <v>-100</v>
      </c>
      <c r="P2" s="95">
        <f t="shared" ref="P2:P7" si="5">$B2+(($C2-$B2)/((1+(ABS($E2*$O2))^$G2)^(1-1/$G2)))</f>
        <v>0.24378106711348882</v>
      </c>
      <c r="Q2" s="96">
        <f t="shared" ref="Q2:Q7" si="6">J2/M2</f>
        <v>1.0594614733858372</v>
      </c>
      <c r="R2" s="96">
        <f t="shared" ref="R2:R7" si="7">J2/P2</f>
        <v>1.6484057698784744</v>
      </c>
    </row>
    <row r="3" spans="1:18" x14ac:dyDescent="0.2">
      <c r="A3" s="93" t="s">
        <v>16</v>
      </c>
      <c r="B3" s="1">
        <v>0.01</v>
      </c>
      <c r="C3" s="1">
        <v>0.439</v>
      </c>
      <c r="D3" s="1">
        <v>12.061</v>
      </c>
      <c r="E3" s="1">
        <v>3.1399999999999997E-2</v>
      </c>
      <c r="F3" s="1">
        <v>-2.3420999999999998</v>
      </c>
      <c r="G3" s="1">
        <v>1.1803999999999999</v>
      </c>
      <c r="H3" s="94">
        <v>0</v>
      </c>
      <c r="I3" s="94">
        <f t="shared" si="0"/>
        <v>-1</v>
      </c>
      <c r="J3" s="95">
        <f t="shared" si="1"/>
        <v>0.43790790517409173</v>
      </c>
      <c r="K3" s="94">
        <v>1</v>
      </c>
      <c r="L3" s="94">
        <f t="shared" si="2"/>
        <v>-10</v>
      </c>
      <c r="M3" s="95">
        <f t="shared" si="3"/>
        <v>0.42437441125649095</v>
      </c>
      <c r="N3" s="94">
        <v>2</v>
      </c>
      <c r="O3" s="94">
        <f t="shared" si="4"/>
        <v>-100</v>
      </c>
      <c r="P3" s="95">
        <f t="shared" si="5"/>
        <v>0.3469150275031182</v>
      </c>
      <c r="Q3" s="96">
        <f t="shared" si="6"/>
        <v>1.0318904570083072</v>
      </c>
      <c r="R3" s="96">
        <f t="shared" si="7"/>
        <v>1.2622915424733385</v>
      </c>
    </row>
    <row r="4" spans="1:18" x14ac:dyDescent="0.2">
      <c r="A4" s="93" t="s">
        <v>17</v>
      </c>
      <c r="B4" s="1">
        <v>0.01</v>
      </c>
      <c r="C4" s="1">
        <v>0.43</v>
      </c>
      <c r="D4" s="1">
        <v>2.2719999999999998</v>
      </c>
      <c r="E4" s="1">
        <v>8.3000000000000001E-3</v>
      </c>
      <c r="F4" s="1">
        <v>-0.58840000000000003</v>
      </c>
      <c r="G4" s="1">
        <v>1.2539</v>
      </c>
      <c r="H4" s="94">
        <v>0</v>
      </c>
      <c r="I4" s="94">
        <f t="shared" si="0"/>
        <v>-1</v>
      </c>
      <c r="J4" s="95">
        <f t="shared" si="1"/>
        <v>0.42979119555251455</v>
      </c>
      <c r="K4" s="94">
        <v>1</v>
      </c>
      <c r="L4" s="94">
        <f t="shared" si="2"/>
        <v>-10</v>
      </c>
      <c r="M4" s="95">
        <f t="shared" si="3"/>
        <v>0.42634426022340088</v>
      </c>
      <c r="N4" s="94">
        <v>2</v>
      </c>
      <c r="O4" s="94">
        <f t="shared" si="4"/>
        <v>-100</v>
      </c>
      <c r="P4" s="95">
        <f t="shared" si="5"/>
        <v>0.3832231799004151</v>
      </c>
      <c r="Q4" s="96">
        <f t="shared" si="6"/>
        <v>1.0080848639250062</v>
      </c>
      <c r="R4" s="96">
        <f t="shared" si="7"/>
        <v>1.1215166986094125</v>
      </c>
    </row>
    <row r="5" spans="1:18" x14ac:dyDescent="0.2">
      <c r="A5" s="93" t="s">
        <v>18</v>
      </c>
      <c r="B5" s="1">
        <v>0.01</v>
      </c>
      <c r="C5" s="1">
        <v>0.52</v>
      </c>
      <c r="D5" s="1">
        <v>24.8</v>
      </c>
      <c r="E5" s="1">
        <v>3.6700000000000003E-2</v>
      </c>
      <c r="F5" s="1">
        <v>-1.9772000000000001</v>
      </c>
      <c r="G5" s="1">
        <v>1.1012</v>
      </c>
      <c r="H5" s="94">
        <v>0</v>
      </c>
      <c r="I5" s="94">
        <f t="shared" si="0"/>
        <v>-1</v>
      </c>
      <c r="J5" s="95">
        <f t="shared" si="1"/>
        <v>0.51878623362467668</v>
      </c>
      <c r="K5" s="94">
        <v>1</v>
      </c>
      <c r="L5" s="94">
        <f t="shared" si="2"/>
        <v>-10</v>
      </c>
      <c r="M5" s="95">
        <f t="shared" si="3"/>
        <v>0.50675283467400234</v>
      </c>
      <c r="N5" s="94">
        <v>2</v>
      </c>
      <c r="O5" s="94">
        <f t="shared" si="4"/>
        <v>-100</v>
      </c>
      <c r="P5" s="95">
        <f t="shared" si="5"/>
        <v>0.44840594078230728</v>
      </c>
      <c r="Q5" s="96">
        <f t="shared" si="6"/>
        <v>1.0237460910473555</v>
      </c>
      <c r="R5" s="96">
        <f t="shared" si="7"/>
        <v>1.1569566467375099</v>
      </c>
    </row>
    <row r="6" spans="1:18" x14ac:dyDescent="0.2">
      <c r="A6" s="93" t="s">
        <v>19</v>
      </c>
      <c r="B6" s="1">
        <v>0.01</v>
      </c>
      <c r="C6" s="1">
        <v>0.61399999999999999</v>
      </c>
      <c r="D6" s="1">
        <v>15</v>
      </c>
      <c r="E6" s="1">
        <v>2.6499999999999999E-2</v>
      </c>
      <c r="F6" s="1">
        <v>2.5</v>
      </c>
      <c r="G6" s="1">
        <v>1.1032999999999999</v>
      </c>
      <c r="H6" s="94">
        <v>0</v>
      </c>
      <c r="I6" s="94">
        <f t="shared" si="0"/>
        <v>-1</v>
      </c>
      <c r="J6" s="95">
        <f t="shared" si="1"/>
        <v>0.61298019101459245</v>
      </c>
      <c r="K6" s="94">
        <v>1</v>
      </c>
      <c r="L6" s="94">
        <f t="shared" si="2"/>
        <v>-10</v>
      </c>
      <c r="M6" s="95">
        <f t="shared" si="3"/>
        <v>0.60235937913653737</v>
      </c>
      <c r="N6" s="94">
        <v>2</v>
      </c>
      <c r="O6" s="94">
        <f t="shared" si="4"/>
        <v>-100</v>
      </c>
      <c r="P6" s="95">
        <f t="shared" si="5"/>
        <v>0.54134681407544172</v>
      </c>
      <c r="Q6" s="96">
        <f t="shared" si="6"/>
        <v>1.0176320187680645</v>
      </c>
      <c r="R6" s="96">
        <f t="shared" si="7"/>
        <v>1.132324371505709</v>
      </c>
    </row>
    <row r="7" spans="1:18" x14ac:dyDescent="0.2">
      <c r="A7" s="93" t="s">
        <v>20</v>
      </c>
      <c r="B7" s="1">
        <v>0.01</v>
      </c>
      <c r="C7" s="1">
        <v>0.76600000000000001</v>
      </c>
      <c r="D7" s="1">
        <v>8</v>
      </c>
      <c r="E7" s="1">
        <v>1.2999999999999999E-2</v>
      </c>
      <c r="F7" s="1">
        <v>0.4</v>
      </c>
      <c r="G7" s="1">
        <v>1.2039</v>
      </c>
      <c r="H7" s="94">
        <v>0</v>
      </c>
      <c r="I7" s="94">
        <f t="shared" si="0"/>
        <v>-1</v>
      </c>
      <c r="J7" s="95">
        <f t="shared" si="1"/>
        <v>0.76531551104517836</v>
      </c>
      <c r="K7" s="94">
        <v>1</v>
      </c>
      <c r="L7" s="94">
        <f t="shared" si="2"/>
        <v>-10</v>
      </c>
      <c r="M7" s="95">
        <f t="shared" si="3"/>
        <v>0.75553803070136161</v>
      </c>
      <c r="N7" s="94">
        <v>2</v>
      </c>
      <c r="O7" s="94">
        <f t="shared" si="4"/>
        <v>-100</v>
      </c>
      <c r="P7" s="95">
        <f t="shared" si="5"/>
        <v>0.66314174844241613</v>
      </c>
      <c r="Q7" s="96">
        <f t="shared" si="6"/>
        <v>1.0129410829720118</v>
      </c>
      <c r="R7" s="96">
        <f t="shared" si="7"/>
        <v>1.1540752981436433</v>
      </c>
    </row>
  </sheetData>
  <sheetProtection password="DE86" sheet="1" objects="1" scenarios="1"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32</vt:i4>
      </vt:variant>
    </vt:vector>
  </HeadingPairs>
  <TitlesOfParts>
    <vt:vector size="36" baseType="lpstr">
      <vt:lpstr>Desktop</vt:lpstr>
      <vt:lpstr>Soil type assignment</vt:lpstr>
      <vt:lpstr>Calculations</vt:lpstr>
      <vt:lpstr>Correction MWHC</vt:lpstr>
      <vt:lpstr>_0.75θfc_act</vt:lpstr>
      <vt:lpstr>Bouwstenen</vt:lpstr>
      <vt:lpstr>clay</vt:lpstr>
      <vt:lpstr>Correction_factor_MWHC</vt:lpstr>
      <vt:lpstr>MWHC</vt:lpstr>
      <vt:lpstr>MWHC_calc</vt:lpstr>
      <vt:lpstr>MWHC_fraction</vt:lpstr>
      <vt:lpstr>MWHC_input</vt:lpstr>
      <vt:lpstr>MWHC_List</vt:lpstr>
      <vt:lpstr>MWHC_vv_pF0</vt:lpstr>
      <vt:lpstr>organic_matter</vt:lpstr>
      <vt:lpstr>Percentage_MWHC</vt:lpstr>
      <vt:lpstr>pF_0.75FC</vt:lpstr>
      <vt:lpstr>pF_at_MWHC</vt:lpstr>
      <vt:lpstr>pF_input</vt:lpstr>
      <vt:lpstr>pF_List</vt:lpstr>
      <vt:lpstr>pF_θact</vt:lpstr>
      <vt:lpstr>Desktop!Print_Area</vt:lpstr>
      <vt:lpstr>RHO_act</vt:lpstr>
      <vt:lpstr>RHO_default</vt:lpstr>
      <vt:lpstr>sand</vt:lpstr>
      <vt:lpstr>silt</vt:lpstr>
      <vt:lpstr>SoiltypeHYPRES</vt:lpstr>
      <vt:lpstr>Sum</vt:lpstr>
      <vt:lpstr>SumError</vt:lpstr>
      <vt:lpstr>vv_mm_FC</vt:lpstr>
      <vt:lpstr>vv_mm_MWHC</vt:lpstr>
      <vt:lpstr>θ_fc_fraction</vt:lpstr>
      <vt:lpstr>θ_fc_input</vt:lpstr>
      <vt:lpstr>θ_h</vt:lpstr>
      <vt:lpstr>θact</vt:lpstr>
      <vt:lpstr>θfc_act</vt:lpstr>
    </vt:vector>
  </TitlesOfParts>
  <Company>RIVM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PvV</dc:creator>
  <cp:lastModifiedBy>Peter van Vlaardingen</cp:lastModifiedBy>
  <cp:lastPrinted>2006-09-07T07:29:59Z</cp:lastPrinted>
  <dcterms:created xsi:type="dcterms:W3CDTF">2005-10-24T15:00:57Z</dcterms:created>
  <dcterms:modified xsi:type="dcterms:W3CDTF">2021-10-11T06:58:48Z</dcterms:modified>
</cp:coreProperties>
</file>