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ersonal Folders\PPlics\pF-curves\"/>
    </mc:Choice>
  </mc:AlternateContent>
  <xr:revisionPtr revIDLastSave="0" documentId="13_ncr:40009_{2E302B01-F6A0-4280-895B-CC90572FD199}" xr6:coauthVersionLast="45" xr6:coauthVersionMax="45" xr10:uidLastSave="{00000000-0000-0000-0000-000000000000}"/>
  <bookViews>
    <workbookView showHorizontalScroll="0" showVerticalScroll="0" xWindow="-120" yWindow="-120" windowWidth="29040" windowHeight="15990"/>
  </bookViews>
  <sheets>
    <sheet name="Desktop" sheetId="1" r:id="rId1"/>
    <sheet name="Soil type assignment" sheetId="2" state="hidden" r:id="rId2"/>
    <sheet name="Calculations" sheetId="3" state="hidden" r:id="rId3"/>
    <sheet name="Correction MWHC" sheetId="4" state="hidden" r:id="rId4"/>
  </sheets>
  <definedNames>
    <definedName name="_0.75θfc_act">Calculations!$B$69</definedName>
    <definedName name="Building_block">'Soil type assignment'!$B$62</definedName>
    <definedName name="Building_block_desc_NL">'Soil type assignment'!$C$62</definedName>
    <definedName name="clay">Desktop!$D$6</definedName>
    <definedName name="Correction_factor_MWHC">Calculations!$B$57</definedName>
    <definedName name="Loam">'Soil type assignment'!$B$37</definedName>
    <definedName name="MWHC_calc">Calculations!$B$56</definedName>
    <definedName name="MWHC_fraction">Calculations!$B$55</definedName>
    <definedName name="MWHC_input">Desktop!$D$20</definedName>
    <definedName name="MWHC_List">Calculations!$I$47:$I$48</definedName>
    <definedName name="MWHC_vv_pF0">Calculations!$B$58</definedName>
    <definedName name="organic_matter">Desktop!$D$8</definedName>
    <definedName name="Percentage_MWHC">Desktop!$D$23</definedName>
    <definedName name="pF_0.75FC">Calculations!$B$70</definedName>
    <definedName name="pF_at_MWHC">Desktop!$D$22</definedName>
    <definedName name="pF_input">Desktop!$D$49</definedName>
    <definedName name="pF_List">Calculations!$I$51:$I$53</definedName>
    <definedName name="pF_θact">Calculations!$B$60</definedName>
    <definedName name="RHO_act">Desktop!$D$24</definedName>
    <definedName name="RHO_default">Calculations!$B$52</definedName>
    <definedName name="sand">Desktop!$D$4</definedName>
    <definedName name="silt">Desktop!$D$5</definedName>
    <definedName name="Sum">'Soil type assignment'!$D$30</definedName>
    <definedName name="SumError">'Soil type assignment'!$B$34</definedName>
    <definedName name="vv_mm_FC">Desktop!$D$37</definedName>
    <definedName name="vv_mm_MWHC">Desktop!$D$21</definedName>
    <definedName name="θ_fc_fraction">Calculations!$B$67</definedName>
    <definedName name="θ_fc_input">Desktop!$D$36</definedName>
    <definedName name="θ_h">Calculations!$B$76</definedName>
    <definedName name="θact">Calculations!$B$59</definedName>
    <definedName name="θfc_act">Calculations!$B$68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2" l="1"/>
  <c r="B30" i="2"/>
  <c r="B31" i="2"/>
  <c r="D30" i="2"/>
  <c r="G7" i="1" s="1"/>
  <c r="A42" i="2"/>
  <c r="B37" i="2"/>
  <c r="B42" i="2"/>
  <c r="C42" i="2"/>
  <c r="A43" i="2"/>
  <c r="B43" i="2"/>
  <c r="C43" i="2" s="1"/>
  <c r="A44" i="2"/>
  <c r="B44" i="2"/>
  <c r="C44" i="2"/>
  <c r="A45" i="2"/>
  <c r="B45" i="2"/>
  <c r="C45" i="2"/>
  <c r="A48" i="2"/>
  <c r="B48" i="2"/>
  <c r="C48" i="2" s="1"/>
  <c r="A49" i="2"/>
  <c r="B49" i="2"/>
  <c r="C49" i="2"/>
  <c r="A50" i="2"/>
  <c r="B50" i="2"/>
  <c r="C50" i="2" s="1"/>
  <c r="A51" i="2"/>
  <c r="B51" i="2"/>
  <c r="C51" i="2"/>
  <c r="A52" i="2"/>
  <c r="B52" i="2"/>
  <c r="C52" i="2" s="1"/>
  <c r="B67" i="3"/>
  <c r="B68" i="3" s="1"/>
  <c r="B69" i="3" s="1"/>
  <c r="B55" i="3"/>
  <c r="B56" i="3" s="1"/>
  <c r="A53" i="2"/>
  <c r="B53" i="2"/>
  <c r="C53" i="2"/>
  <c r="A54" i="2"/>
  <c r="B54" i="2"/>
  <c r="C54" i="2" s="1"/>
  <c r="A55" i="2"/>
  <c r="B55" i="2"/>
  <c r="C55" i="2"/>
  <c r="A56" i="2"/>
  <c r="B56" i="2"/>
  <c r="C56" i="2" s="1"/>
  <c r="A57" i="2"/>
  <c r="B57" i="2"/>
  <c r="C57" i="2"/>
  <c r="B59" i="2"/>
  <c r="A59" i="2"/>
  <c r="C59" i="2" s="1"/>
  <c r="B58" i="2"/>
  <c r="A58" i="2"/>
  <c r="C58" i="2"/>
  <c r="B57" i="3"/>
  <c r="B58" i="3" s="1"/>
  <c r="D27" i="1" s="1"/>
  <c r="R2" i="4"/>
  <c r="O3" i="4"/>
  <c r="P3" i="4"/>
  <c r="O4" i="4"/>
  <c r="P4" i="4"/>
  <c r="O5" i="4"/>
  <c r="P5" i="4"/>
  <c r="O6" i="4"/>
  <c r="P6" i="4"/>
  <c r="R6" i="4" s="1"/>
  <c r="O7" i="4"/>
  <c r="P7" i="4"/>
  <c r="O8" i="4"/>
  <c r="P8" i="4"/>
  <c r="O9" i="4"/>
  <c r="P9" i="4"/>
  <c r="O10" i="4"/>
  <c r="P10" i="4"/>
  <c r="R10" i="4" s="1"/>
  <c r="O11" i="4"/>
  <c r="P11" i="4"/>
  <c r="O12" i="4"/>
  <c r="P12" i="4"/>
  <c r="O13" i="4"/>
  <c r="P13" i="4"/>
  <c r="O14" i="4"/>
  <c r="P14" i="4"/>
  <c r="R14" i="4" s="1"/>
  <c r="O15" i="4"/>
  <c r="P15" i="4"/>
  <c r="O16" i="4"/>
  <c r="P16" i="4"/>
  <c r="O17" i="4"/>
  <c r="P17" i="4"/>
  <c r="O18" i="4"/>
  <c r="P18" i="4"/>
  <c r="R18" i="4" s="1"/>
  <c r="O19" i="4"/>
  <c r="P19" i="4"/>
  <c r="O2" i="4"/>
  <c r="P2" i="4" s="1"/>
  <c r="B50" i="3"/>
  <c r="I19" i="4"/>
  <c r="J19" i="4" s="1"/>
  <c r="L19" i="4"/>
  <c r="M19" i="4" s="1"/>
  <c r="Q19" i="4" s="1"/>
  <c r="I18" i="4"/>
  <c r="J18" i="4"/>
  <c r="L18" i="4"/>
  <c r="M18" i="4"/>
  <c r="I17" i="4"/>
  <c r="J17" i="4" s="1"/>
  <c r="R17" i="4" s="1"/>
  <c r="L17" i="4"/>
  <c r="M17" i="4" s="1"/>
  <c r="Q17" i="4"/>
  <c r="I16" i="4"/>
  <c r="J16" i="4"/>
  <c r="L16" i="4"/>
  <c r="M16" i="4"/>
  <c r="I15" i="4"/>
  <c r="J15" i="4" s="1"/>
  <c r="L15" i="4"/>
  <c r="M15" i="4" s="1"/>
  <c r="Q15" i="4" s="1"/>
  <c r="I14" i="4"/>
  <c r="J14" i="4"/>
  <c r="L14" i="4"/>
  <c r="M14" i="4"/>
  <c r="I13" i="4"/>
  <c r="J13" i="4" s="1"/>
  <c r="R13" i="4" s="1"/>
  <c r="L13" i="4"/>
  <c r="M13" i="4" s="1"/>
  <c r="Q13" i="4"/>
  <c r="I12" i="4"/>
  <c r="J12" i="4"/>
  <c r="L12" i="4"/>
  <c r="M12" i="4"/>
  <c r="I11" i="4"/>
  <c r="J11" i="4" s="1"/>
  <c r="L11" i="4"/>
  <c r="M11" i="4" s="1"/>
  <c r="Q11" i="4" s="1"/>
  <c r="I10" i="4"/>
  <c r="J10" i="4"/>
  <c r="L10" i="4"/>
  <c r="M10" i="4"/>
  <c r="I9" i="4"/>
  <c r="J9" i="4" s="1"/>
  <c r="R9" i="4" s="1"/>
  <c r="L9" i="4"/>
  <c r="M9" i="4" s="1"/>
  <c r="Q9" i="4"/>
  <c r="I8" i="4"/>
  <c r="J8" i="4"/>
  <c r="L8" i="4"/>
  <c r="M8" i="4"/>
  <c r="I7" i="4"/>
  <c r="J7" i="4" s="1"/>
  <c r="L7" i="4"/>
  <c r="M7" i="4" s="1"/>
  <c r="Q7" i="4" s="1"/>
  <c r="I6" i="4"/>
  <c r="J6" i="4"/>
  <c r="L6" i="4"/>
  <c r="M6" i="4"/>
  <c r="I5" i="4"/>
  <c r="J5" i="4" s="1"/>
  <c r="R5" i="4" s="1"/>
  <c r="L5" i="4"/>
  <c r="M5" i="4" s="1"/>
  <c r="Q5" i="4"/>
  <c r="I4" i="4"/>
  <c r="J4" i="4"/>
  <c r="L4" i="4"/>
  <c r="M4" i="4"/>
  <c r="I3" i="4"/>
  <c r="J3" i="4" s="1"/>
  <c r="L3" i="4"/>
  <c r="M3" i="4" s="1"/>
  <c r="Q3" i="4" s="1"/>
  <c r="I2" i="4"/>
  <c r="J2" i="4"/>
  <c r="L2" i="4"/>
  <c r="M2" i="4"/>
  <c r="B74" i="3"/>
  <c r="B4" i="3"/>
  <c r="B20" i="3"/>
  <c r="C20" i="3" s="1"/>
  <c r="D20" i="3" s="1"/>
  <c r="B5" i="3"/>
  <c r="C5" i="3"/>
  <c r="D5" i="3" s="1"/>
  <c r="B19" i="3"/>
  <c r="C19" i="3" s="1"/>
  <c r="D19" i="3" s="1"/>
  <c r="B6" i="3"/>
  <c r="C6" i="3"/>
  <c r="D6" i="3" s="1"/>
  <c r="E42" i="3"/>
  <c r="F42" i="3" s="1"/>
  <c r="E27" i="3"/>
  <c r="F27" i="3" s="1"/>
  <c r="E41" i="3"/>
  <c r="F41" i="3" s="1"/>
  <c r="E28" i="3"/>
  <c r="F28" i="3" s="1"/>
  <c r="E36" i="3"/>
  <c r="F36" i="3" s="1"/>
  <c r="D11" i="1"/>
  <c r="B64" i="3"/>
  <c r="B65" i="3"/>
  <c r="B49" i="3"/>
  <c r="B53" i="3"/>
  <c r="B51" i="3"/>
  <c r="B48" i="3"/>
  <c r="E39" i="3"/>
  <c r="F39" i="3" s="1"/>
  <c r="E38" i="3"/>
  <c r="F38" i="3" s="1"/>
  <c r="E37" i="3"/>
  <c r="F37" i="3" s="1"/>
  <c r="E35" i="3"/>
  <c r="F35" i="3" s="1"/>
  <c r="E34" i="3"/>
  <c r="F34" i="3"/>
  <c r="E33" i="3"/>
  <c r="F33" i="3" s="1"/>
  <c r="E32" i="3"/>
  <c r="F32" i="3"/>
  <c r="E31" i="3"/>
  <c r="F31" i="3" s="1"/>
  <c r="E30" i="3"/>
  <c r="F30" i="3"/>
  <c r="E29" i="3"/>
  <c r="F29" i="3" s="1"/>
  <c r="E26" i="3"/>
  <c r="F26" i="3"/>
  <c r="B21" i="3"/>
  <c r="C21" i="3"/>
  <c r="D21" i="3" s="1"/>
  <c r="B18" i="3"/>
  <c r="C18" i="3" s="1"/>
  <c r="D18" i="3" s="1"/>
  <c r="B17" i="3"/>
  <c r="C17" i="3"/>
  <c r="D17" i="3" s="1"/>
  <c r="B16" i="3"/>
  <c r="C16" i="3" s="1"/>
  <c r="D16" i="3" s="1"/>
  <c r="B15" i="3"/>
  <c r="C15" i="3"/>
  <c r="D15" i="3" s="1"/>
  <c r="B14" i="3"/>
  <c r="C14" i="3" s="1"/>
  <c r="D14" i="3" s="1"/>
  <c r="B13" i="3"/>
  <c r="C13" i="3"/>
  <c r="D13" i="3" s="1"/>
  <c r="B12" i="3"/>
  <c r="C12" i="3" s="1"/>
  <c r="D12" i="3" s="1"/>
  <c r="B11" i="3"/>
  <c r="C11" i="3"/>
  <c r="D11" i="3" s="1"/>
  <c r="B10" i="3"/>
  <c r="C10" i="3" s="1"/>
  <c r="D10" i="3" s="1"/>
  <c r="B9" i="3"/>
  <c r="C9" i="3"/>
  <c r="D9" i="3" s="1"/>
  <c r="B8" i="3"/>
  <c r="C8" i="3" s="1"/>
  <c r="D8" i="3" s="1"/>
  <c r="B7" i="3"/>
  <c r="C7" i="3"/>
  <c r="D7" i="3" s="1"/>
  <c r="C4" i="3"/>
  <c r="D4" i="3" s="1"/>
  <c r="B33" i="2"/>
  <c r="D41" i="1"/>
  <c r="D40" i="1"/>
  <c r="B47" i="2"/>
  <c r="B46" i="2"/>
  <c r="A47" i="2"/>
  <c r="A46" i="2"/>
  <c r="Q4" i="4" l="1"/>
  <c r="Q8" i="4"/>
  <c r="Q12" i="4"/>
  <c r="Q16" i="4"/>
  <c r="Q2" i="4"/>
  <c r="R3" i="4"/>
  <c r="Q6" i="4"/>
  <c r="R7" i="4"/>
  <c r="Q10" i="4"/>
  <c r="R11" i="4"/>
  <c r="Q14" i="4"/>
  <c r="R15" i="4"/>
  <c r="Q18" i="4"/>
  <c r="R19" i="4"/>
  <c r="R4" i="4"/>
  <c r="R8" i="4"/>
  <c r="R12" i="4"/>
  <c r="R16" i="4"/>
  <c r="B59" i="3"/>
  <c r="E43" i="3"/>
  <c r="F43" i="3" s="1"/>
  <c r="E40" i="3"/>
  <c r="F40" i="3" s="1"/>
  <c r="B34" i="2"/>
  <c r="C62" i="2" s="1"/>
  <c r="G14" i="1" s="1"/>
  <c r="B62" i="2"/>
  <c r="D14" i="1" l="1"/>
  <c r="B76" i="3"/>
  <c r="D52" i="1" s="1"/>
  <c r="B70" i="3"/>
  <c r="D44" i="1" s="1"/>
  <c r="B42" i="3"/>
  <c r="C42" i="3" s="1"/>
  <c r="D42" i="3" s="1"/>
  <c r="B26" i="3"/>
  <c r="C26" i="3" s="1"/>
  <c r="D26" i="3" s="1"/>
  <c r="B39" i="3"/>
  <c r="C39" i="3" s="1"/>
  <c r="D39" i="3" s="1"/>
  <c r="B43" i="3"/>
  <c r="C43" i="3" s="1"/>
  <c r="D43" i="3" s="1"/>
  <c r="B28" i="3"/>
  <c r="C28" i="3" s="1"/>
  <c r="D28" i="3" s="1"/>
  <c r="B40" i="3"/>
  <c r="C40" i="3" s="1"/>
  <c r="D40" i="3" s="1"/>
  <c r="B38" i="3"/>
  <c r="C38" i="3" s="1"/>
  <c r="D38" i="3" s="1"/>
  <c r="B41" i="3"/>
  <c r="C41" i="3" s="1"/>
  <c r="D41" i="3" s="1"/>
  <c r="B35" i="3"/>
  <c r="C35" i="3" s="1"/>
  <c r="D35" i="3" s="1"/>
  <c r="B34" i="3"/>
  <c r="C34" i="3" s="1"/>
  <c r="D34" i="3" s="1"/>
  <c r="B32" i="3"/>
  <c r="C32" i="3" s="1"/>
  <c r="D32" i="3" s="1"/>
  <c r="B30" i="3"/>
  <c r="C30" i="3" s="1"/>
  <c r="D30" i="3" s="1"/>
  <c r="D28" i="1"/>
  <c r="B27" i="3"/>
  <c r="C27" i="3" s="1"/>
  <c r="D27" i="3" s="1"/>
  <c r="B37" i="3"/>
  <c r="C37" i="3" s="1"/>
  <c r="D37" i="3" s="1"/>
  <c r="B36" i="3"/>
  <c r="C36" i="3" s="1"/>
  <c r="D36" i="3" s="1"/>
  <c r="B60" i="3" s="1"/>
  <c r="D31" i="1" s="1"/>
  <c r="B33" i="3"/>
  <c r="C33" i="3" s="1"/>
  <c r="D33" i="3" s="1"/>
  <c r="B31" i="3"/>
  <c r="C31" i="3" s="1"/>
  <c r="D31" i="3" s="1"/>
  <c r="B29" i="3"/>
  <c r="C29" i="3" s="1"/>
  <c r="D29" i="3" s="1"/>
</calcChain>
</file>

<file path=xl/comments1.xml><?xml version="1.0" encoding="utf-8"?>
<comments xmlns="http://schemas.openxmlformats.org/spreadsheetml/2006/main">
  <authors>
    <author>Peter</author>
    <author xml:space="preserve">Peter </author>
  </authors>
  <commentList>
    <comment ref="A41" authorId="0" shapeId="0">
      <text>
        <r>
          <rPr>
            <b/>
            <sz val="8"/>
            <color indexed="81"/>
            <rFont val="Tahoma"/>
            <family val="2"/>
          </rPr>
          <t>Peter:</t>
        </r>
        <r>
          <rPr>
            <sz val="8"/>
            <color indexed="81"/>
            <rFont val="Tahoma"/>
            <family val="2"/>
          </rPr>
          <t xml:space="preserve">
De eerste stap is een tweedeling in zandgronden en kleigronden:
zandgronden: 0 &lt; %clay &lt;8
kleigronden: %clay </t>
        </r>
        <r>
          <rPr>
            <sz val="8"/>
            <color indexed="81"/>
            <rFont val="Arial"/>
            <family val="2"/>
          </rPr>
          <t>≥</t>
        </r>
        <r>
          <rPr>
            <sz val="8"/>
            <color indexed="81"/>
            <rFont val="Tahoma"/>
            <family val="2"/>
          </rPr>
          <t>8</t>
        </r>
      </text>
    </comment>
    <comment ref="C46" authorId="1" shapeId="0">
      <text>
        <r>
          <rPr>
            <b/>
            <sz val="8"/>
            <color indexed="81"/>
            <rFont val="Tahoma"/>
            <family val="2"/>
          </rPr>
          <t>PvV :</t>
        </r>
        <r>
          <rPr>
            <sz val="8"/>
            <color indexed="81"/>
            <rFont val="Tahoma"/>
            <family val="2"/>
          </rPr>
          <t xml:space="preserve">
Building block B5 can not be assigned. B5 is supposed not to occur as testsoil.</t>
        </r>
      </text>
    </comment>
    <comment ref="C47" authorId="1" shapeId="0">
      <text>
        <r>
          <rPr>
            <b/>
            <sz val="8"/>
            <color indexed="81"/>
            <rFont val="Tahoma"/>
            <family val="2"/>
          </rPr>
          <t>PvV :</t>
        </r>
        <r>
          <rPr>
            <sz val="8"/>
            <color indexed="81"/>
            <rFont val="Tahoma"/>
            <family val="2"/>
          </rPr>
          <t xml:space="preserve">
Building block B6 can not be assigned. B6 is supposed not to occur as testsoil.</t>
        </r>
      </text>
    </comment>
    <comment ref="C58" authorId="1" shapeId="0">
      <text>
        <r>
          <rPr>
            <b/>
            <sz val="8"/>
            <color indexed="81"/>
            <rFont val="Tahoma"/>
            <family val="2"/>
          </rPr>
          <t>Peter :</t>
        </r>
        <r>
          <rPr>
            <sz val="8"/>
            <color indexed="81"/>
            <rFont val="Tahoma"/>
            <family val="2"/>
          </rPr>
          <t xml:space="preserve">
O.m. klasse B17 is 16-45. Om overlap met B18 op te lossen is o.m. voor B17 gesteld  op </t>
        </r>
        <r>
          <rPr>
            <sz val="8"/>
            <color indexed="81"/>
            <rFont val="Arial"/>
            <family val="2"/>
          </rPr>
          <t>≥</t>
        </r>
        <r>
          <rPr>
            <sz val="8"/>
            <color indexed="81"/>
            <rFont val="Tahoma"/>
            <family val="2"/>
          </rPr>
          <t>16-&lt;35.</t>
        </r>
      </text>
    </comment>
    <comment ref="C59" authorId="1" shapeId="0">
      <text>
        <r>
          <rPr>
            <b/>
            <sz val="8"/>
            <color indexed="81"/>
            <rFont val="Tahoma"/>
            <family val="2"/>
          </rPr>
          <t>Peter :</t>
        </r>
        <r>
          <rPr>
            <sz val="8"/>
            <color indexed="81"/>
            <rFont val="Tahoma"/>
            <family val="2"/>
          </rPr>
          <t xml:space="preserve">
O.m. klasse B18 is 25-70. Om overlap met B17 op te lossen is o.m. voor B18 gesteld  op </t>
        </r>
        <r>
          <rPr>
            <sz val="8"/>
            <color indexed="81"/>
            <rFont val="Arial"/>
            <family val="2"/>
          </rPr>
          <t>≥</t>
        </r>
        <r>
          <rPr>
            <sz val="8"/>
            <color indexed="81"/>
            <rFont val="Tahoma"/>
            <family val="2"/>
          </rPr>
          <t>35-70.</t>
        </r>
      </text>
    </comment>
  </commentList>
</comments>
</file>

<file path=xl/sharedStrings.xml><?xml version="1.0" encoding="utf-8"?>
<sst xmlns="http://schemas.openxmlformats.org/spreadsheetml/2006/main" count="295" uniqueCount="166">
  <si>
    <t>&lt; 50 µm</t>
  </si>
  <si>
    <t>&lt; 2 µm</t>
  </si>
  <si>
    <t>Zand</t>
  </si>
  <si>
    <t>min</t>
  </si>
  <si>
    <t>max</t>
  </si>
  <si>
    <t>B1</t>
  </si>
  <si>
    <t>B2</t>
  </si>
  <si>
    <t>B3</t>
  </si>
  <si>
    <t>B4</t>
  </si>
  <si>
    <t>B5</t>
  </si>
  <si>
    <t>B6</t>
  </si>
  <si>
    <t>Zavel</t>
  </si>
  <si>
    <t>B7</t>
  </si>
  <si>
    <t>B8</t>
  </si>
  <si>
    <t>B9</t>
  </si>
  <si>
    <t>Klei</t>
  </si>
  <si>
    <t>B10</t>
  </si>
  <si>
    <t>B11</t>
  </si>
  <si>
    <t>B12</t>
  </si>
  <si>
    <t>Leem</t>
  </si>
  <si>
    <t>B13</t>
  </si>
  <si>
    <t>B14</t>
  </si>
  <si>
    <t>Moerig</t>
  </si>
  <si>
    <t>B15</t>
  </si>
  <si>
    <t>B16</t>
  </si>
  <si>
    <t>B17</t>
  </si>
  <si>
    <t>B18</t>
  </si>
  <si>
    <t>leemarm, zeer fijn tot matig fijn zand</t>
  </si>
  <si>
    <t>zwak lemig, zeer fijn tot matig fijn zand</t>
  </si>
  <si>
    <t>sterk lemig, zeer fijn tot matig fijn zand</t>
  </si>
  <si>
    <t>zeer sterk lemig, zeer fijn tot matig fijn zand</t>
  </si>
  <si>
    <t>grof zand</t>
  </si>
  <si>
    <t>keileem</t>
  </si>
  <si>
    <t>zeer lichte zavel</t>
  </si>
  <si>
    <t>matig lichte zavel</t>
  </si>
  <si>
    <t>zware zavel</t>
  </si>
  <si>
    <t>lichte klei</t>
  </si>
  <si>
    <t>matig zware klei</t>
  </si>
  <si>
    <t>zeer zware klei</t>
  </si>
  <si>
    <t>zandige leem</t>
  </si>
  <si>
    <t>siltige leem</t>
  </si>
  <si>
    <t>venig zand</t>
  </si>
  <si>
    <t>zandig veen en veen</t>
  </si>
  <si>
    <t>venige klei</t>
  </si>
  <si>
    <t>kleiig veen</t>
  </si>
  <si>
    <t>1. Assignment of Staringreeks soil type to testsoil.</t>
  </si>
  <si>
    <t>Soil type</t>
  </si>
  <si>
    <t>Input</t>
  </si>
  <si>
    <t>% sand (&gt; 50 µm)</t>
  </si>
  <si>
    <t>%</t>
  </si>
  <si>
    <t>% silt (2-50 µm)</t>
  </si>
  <si>
    <t>% clay (&lt;2 µm)</t>
  </si>
  <si>
    <t>sum</t>
  </si>
  <si>
    <t>% organic matter</t>
  </si>
  <si>
    <t>Intermediate result</t>
  </si>
  <si>
    <t>% loam (&lt; 50 µm)</t>
  </si>
  <si>
    <t>Output</t>
  </si>
  <si>
    <t>2. Calculation of pF at applied moisture content.</t>
  </si>
  <si>
    <t>MWHC</t>
  </si>
  <si>
    <t>◄</t>
  </si>
  <si>
    <t>% of MWHC</t>
  </si>
  <si>
    <t>Enter the % of MWHC to which the soil is moistened.</t>
  </si>
  <si>
    <t>Bulk density dry soil</t>
  </si>
  <si>
    <r>
      <t>kg.dm</t>
    </r>
    <r>
      <rPr>
        <vertAlign val="superscript"/>
        <sz val="10"/>
        <rFont val="Arial"/>
        <family val="2"/>
      </rPr>
      <t>-3</t>
    </r>
  </si>
  <si>
    <t>Enter value if available, clear cell if unavailable.</t>
  </si>
  <si>
    <t>(The soil dry bulk density is not generally reported)</t>
  </si>
  <si>
    <r>
      <t>Actual moisture content (</t>
    </r>
    <r>
      <rPr>
        <i/>
        <sz val="10"/>
        <color indexed="23"/>
        <rFont val="Arial"/>
        <family val="2"/>
      </rPr>
      <t>θ</t>
    </r>
    <r>
      <rPr>
        <vertAlign val="subscript"/>
        <sz val="10"/>
        <color indexed="23"/>
        <rFont val="Arial"/>
        <family val="2"/>
      </rPr>
      <t>act</t>
    </r>
    <r>
      <rPr>
        <sz val="10"/>
        <color indexed="23"/>
        <rFont val="Arial"/>
        <family val="2"/>
      </rPr>
      <t>)</t>
    </r>
  </si>
  <si>
    <t>v/v</t>
  </si>
  <si>
    <r>
      <t>p</t>
    </r>
    <r>
      <rPr>
        <i/>
        <sz val="10"/>
        <rFont val="Arial"/>
        <family val="2"/>
      </rPr>
      <t>F</t>
    </r>
    <r>
      <rPr>
        <sz val="10"/>
        <rFont val="Arial"/>
      </rPr>
      <t xml:space="preserve"> at 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act</t>
    </r>
  </si>
  <si>
    <t>3. Calculation of pF at 75% of field capacity.</t>
  </si>
  <si>
    <t>Field capacity</t>
  </si>
  <si>
    <r>
      <t>Actual moisture content at p</t>
    </r>
    <r>
      <rPr>
        <i/>
        <sz val="10"/>
        <color indexed="23"/>
        <rFont val="Arial"/>
        <family val="2"/>
      </rPr>
      <t>F</t>
    </r>
    <r>
      <rPr>
        <sz val="10"/>
        <color indexed="23"/>
        <rFont val="Arial"/>
        <family val="2"/>
      </rPr>
      <t xml:space="preserve"> (</t>
    </r>
    <r>
      <rPr>
        <i/>
        <sz val="10"/>
        <color indexed="23"/>
        <rFont val="Arial"/>
        <family val="2"/>
      </rPr>
      <t>θ</t>
    </r>
    <r>
      <rPr>
        <i/>
        <vertAlign val="subscript"/>
        <sz val="10"/>
        <color indexed="23"/>
        <rFont val="Arial"/>
        <family val="2"/>
      </rPr>
      <t>fc_</t>
    </r>
    <r>
      <rPr>
        <vertAlign val="subscript"/>
        <sz val="10"/>
        <color indexed="23"/>
        <rFont val="Arial"/>
        <family val="2"/>
      </rPr>
      <t>act</t>
    </r>
    <r>
      <rPr>
        <sz val="10"/>
        <color indexed="23"/>
        <rFont val="Arial"/>
        <family val="2"/>
      </rPr>
      <t>)</t>
    </r>
  </si>
  <si>
    <r>
      <t>Actual moisture content at ¾p</t>
    </r>
    <r>
      <rPr>
        <i/>
        <sz val="10"/>
        <color indexed="23"/>
        <rFont val="Arial"/>
        <family val="2"/>
      </rPr>
      <t>F</t>
    </r>
    <r>
      <rPr>
        <sz val="10"/>
        <color indexed="23"/>
        <rFont val="Arial"/>
        <family val="2"/>
      </rPr>
      <t/>
    </r>
  </si>
  <si>
    <r>
      <t>p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 xml:space="preserve"> at 75% of 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fc</t>
    </r>
  </si>
  <si>
    <t>4. Calculation of moisture content at known pF.</t>
  </si>
  <si>
    <r>
      <t>p</t>
    </r>
    <r>
      <rPr>
        <i/>
        <sz val="10"/>
        <rFont val="Arial"/>
        <family val="2"/>
      </rPr>
      <t>F</t>
    </r>
  </si>
  <si>
    <r>
      <t>θ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h</t>
    </r>
    <r>
      <rPr>
        <sz val="10"/>
        <rFont val="Arial"/>
        <family val="2"/>
      </rPr>
      <t>)</t>
    </r>
  </si>
  <si>
    <t>%zand</t>
  </si>
  <si>
    <t>%silt</t>
  </si>
  <si>
    <t>%klei</t>
  </si>
  <si>
    <t>Sum</t>
  </si>
  <si>
    <r>
      <t>h</t>
    </r>
    <r>
      <rPr>
        <sz val="10"/>
        <rFont val="Arial"/>
      </rPr>
      <t xml:space="preserve"> (cm)</t>
    </r>
  </si>
  <si>
    <r>
      <t>θ</t>
    </r>
    <r>
      <rPr>
        <vertAlign val="subscript"/>
        <sz val="10"/>
        <rFont val="Arial"/>
        <family val="2"/>
      </rPr>
      <t>r</t>
    </r>
  </si>
  <si>
    <r>
      <t>θ</t>
    </r>
    <r>
      <rPr>
        <vertAlign val="subscript"/>
        <sz val="10"/>
        <rFont val="Arial"/>
        <family val="2"/>
      </rPr>
      <t>s</t>
    </r>
  </si>
  <si>
    <r>
      <t>K</t>
    </r>
    <r>
      <rPr>
        <vertAlign val="subscript"/>
        <sz val="10"/>
        <rFont val="Arial"/>
        <family val="2"/>
      </rPr>
      <t>s</t>
    </r>
  </si>
  <si>
    <t>α</t>
  </si>
  <si>
    <t>l</t>
  </si>
  <si>
    <t>n</t>
  </si>
  <si>
    <r>
      <t>Inverse of the class-transfer functions: |</t>
    </r>
    <r>
      <rPr>
        <i/>
        <sz val="10"/>
        <rFont val="Arial"/>
        <family val="2"/>
      </rPr>
      <t>h</t>
    </r>
    <r>
      <rPr>
        <sz val="10"/>
        <rFont val="Arial"/>
      </rPr>
      <t>| as a function of |</t>
    </r>
    <r>
      <rPr>
        <i/>
        <sz val="10"/>
        <rFont val="Arial"/>
        <family val="2"/>
      </rPr>
      <t>θ</t>
    </r>
    <r>
      <rPr>
        <sz val="10"/>
        <rFont val="Arial"/>
      </rPr>
      <t>|.</t>
    </r>
  </si>
  <si>
    <t>θ</t>
  </si>
  <si>
    <t>|h| (θ) (cm)</t>
  </si>
  <si>
    <t>pF</t>
  </si>
  <si>
    <r>
      <t>0.75*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fc</t>
    </r>
    <r>
      <rPr>
        <sz val="10"/>
        <rFont val="Arial"/>
        <family val="2"/>
      </rPr>
      <t xml:space="preserve"> input</t>
    </r>
  </si>
  <si>
    <t>pF 0.75FC</t>
  </si>
  <si>
    <t>Declaration of lists</t>
  </si>
  <si>
    <t>MWHC_input</t>
  </si>
  <si>
    <t>MWHC_fraction</t>
  </si>
  <si>
    <t>% of MWHC to which the soil is moistened.</t>
  </si>
  <si>
    <t>RHO_default</t>
  </si>
  <si>
    <t>kg.dm-3</t>
  </si>
  <si>
    <t>default bulk density of dry soil.</t>
  </si>
  <si>
    <t>RHO_act</t>
  </si>
  <si>
    <t>If reported: enter the bulk density of dry soil.</t>
  </si>
  <si>
    <t>MWHC (v/v)</t>
  </si>
  <si>
    <t>In case MWHC in m/m</t>
  </si>
  <si>
    <t>Actual moisture content in testsoil.</t>
  </si>
  <si>
    <r>
      <t>θ</t>
    </r>
    <r>
      <rPr>
        <vertAlign val="subscript"/>
        <sz val="10"/>
        <rFont val="Arial"/>
        <family val="2"/>
      </rPr>
      <t>act</t>
    </r>
  </si>
  <si>
    <r>
      <t>pF at</t>
    </r>
    <r>
      <rPr>
        <i/>
        <sz val="10"/>
        <rFont val="Arial"/>
        <family val="2"/>
      </rPr>
      <t xml:space="preserve"> θ</t>
    </r>
    <r>
      <rPr>
        <vertAlign val="subscript"/>
        <sz val="10"/>
        <rFont val="Arial"/>
        <family val="2"/>
      </rPr>
      <t>act</t>
    </r>
  </si>
  <si>
    <t>θ_fc_input</t>
  </si>
  <si>
    <t>θ_fc_fraction</t>
  </si>
  <si>
    <t>θfc_act (v/v)</t>
  </si>
  <si>
    <t>0.75θfc_act</t>
  </si>
  <si>
    <t>pF at 75% of θfc</t>
  </si>
  <si>
    <t>pF_input</t>
  </si>
  <si>
    <t>θ(h)</t>
  </si>
  <si>
    <r>
      <t xml:space="preserve">Wösten </t>
    </r>
    <r>
      <rPr>
        <i/>
        <sz val="10"/>
        <rFont val="Arial"/>
        <family val="2"/>
      </rPr>
      <t>et al</t>
    </r>
    <r>
      <rPr>
        <sz val="10"/>
        <rFont val="Arial"/>
      </rPr>
      <t>., 2001. Alterra report 153.</t>
    </r>
  </si>
  <si>
    <t>Class-transfer functions for topsoils (table 3 from Alterra report 153).</t>
  </si>
  <si>
    <t>Loam (%)</t>
  </si>
  <si>
    <t>O.m. (%)</t>
  </si>
  <si>
    <t>Classification according to texture following Table 1 (Topsoil-building blocks) from Staringreeks.</t>
  </si>
  <si>
    <t>Definition Loam</t>
  </si>
  <si>
    <t>Input texture</t>
  </si>
  <si>
    <t>%organic matter</t>
  </si>
  <si>
    <t>Building block selection</t>
  </si>
  <si>
    <t>Clay/sand?</t>
  </si>
  <si>
    <t>clay=1,sand=0</t>
  </si>
  <si>
    <t>Peaty(Moerig)?</t>
  </si>
  <si>
    <t>peaty=1</t>
  </si>
  <si>
    <t>Not</t>
  </si>
  <si>
    <t>Selection</t>
  </si>
  <si>
    <t>Building block</t>
  </si>
  <si>
    <t>Calculation</t>
  </si>
  <si>
    <t>List box for v/v or m/m</t>
  </si>
  <si>
    <r>
      <t>θ</t>
    </r>
    <r>
      <rPr>
        <vertAlign val="subscript"/>
        <sz val="10"/>
        <rFont val="Arial"/>
        <family val="2"/>
      </rPr>
      <t>pF0</t>
    </r>
  </si>
  <si>
    <r>
      <t>θ</t>
    </r>
    <r>
      <rPr>
        <vertAlign val="subscript"/>
        <sz val="10"/>
        <rFont val="Arial"/>
        <family val="2"/>
      </rPr>
      <t>pF1</t>
    </r>
  </si>
  <si>
    <r>
      <t>θ</t>
    </r>
    <r>
      <rPr>
        <vertAlign val="subscript"/>
        <sz val="10"/>
        <rFont val="Arial"/>
        <family val="2"/>
      </rPr>
      <t>pF0/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pF1</t>
    </r>
  </si>
  <si>
    <t>Volumetric or gravimetric MWHC?</t>
  </si>
  <si>
    <t>Volumetric or gravimetric FC?</t>
  </si>
  <si>
    <t>pF value at which MWHC is determined</t>
  </si>
  <si>
    <t>pF 0</t>
  </si>
  <si>
    <r>
      <t>p</t>
    </r>
    <r>
      <rPr>
        <i/>
        <sz val="10"/>
        <rFont val="Arial"/>
        <family val="2"/>
      </rPr>
      <t>F</t>
    </r>
    <r>
      <rPr>
        <sz val="10"/>
        <rFont val="Arial"/>
      </rPr>
      <t xml:space="preserve"> 0</t>
    </r>
  </si>
  <si>
    <r>
      <t>p</t>
    </r>
    <r>
      <rPr>
        <i/>
        <sz val="10"/>
        <rFont val="Arial"/>
        <family val="2"/>
      </rPr>
      <t>F</t>
    </r>
    <r>
      <rPr>
        <sz val="10"/>
        <rFont val="Arial"/>
      </rPr>
      <t xml:space="preserve"> 1</t>
    </r>
  </si>
  <si>
    <r>
      <t>p</t>
    </r>
    <r>
      <rPr>
        <i/>
        <sz val="10"/>
        <rFont val="Arial"/>
        <family val="2"/>
      </rPr>
      <t>F</t>
    </r>
    <r>
      <rPr>
        <sz val="10"/>
        <rFont val="Arial"/>
      </rPr>
      <t xml:space="preserve"> 2</t>
    </r>
  </si>
  <si>
    <t>pF at MWHC</t>
  </si>
  <si>
    <t>MWHC (v/v)_at_pF0</t>
  </si>
  <si>
    <r>
      <t>θ</t>
    </r>
    <r>
      <rPr>
        <vertAlign val="subscript"/>
        <sz val="10"/>
        <rFont val="Arial"/>
        <family val="2"/>
      </rPr>
      <t>pF2</t>
    </r>
  </si>
  <si>
    <r>
      <t>θ</t>
    </r>
    <r>
      <rPr>
        <vertAlign val="subscript"/>
        <sz val="10"/>
        <rFont val="Arial"/>
        <family val="2"/>
      </rPr>
      <t>pF0/</t>
    </r>
    <r>
      <rPr>
        <i/>
        <sz val="10"/>
        <rFont val="Arial"/>
        <family val="2"/>
      </rPr>
      <t>θ</t>
    </r>
    <r>
      <rPr>
        <vertAlign val="subscript"/>
        <sz val="10"/>
        <rFont val="Arial"/>
        <family val="2"/>
      </rPr>
      <t>pF2</t>
    </r>
  </si>
  <si>
    <t>Correction factor MWHC</t>
  </si>
  <si>
    <t>List box for pF at which MWHC was determined.</t>
  </si>
  <si>
    <r>
      <t>MWHC at p</t>
    </r>
    <r>
      <rPr>
        <i/>
        <sz val="10"/>
        <color indexed="23"/>
        <rFont val="Arial"/>
        <family val="2"/>
      </rPr>
      <t>F</t>
    </r>
    <r>
      <rPr>
        <sz val="10"/>
        <color indexed="23"/>
        <rFont val="Arial"/>
        <family val="2"/>
      </rPr>
      <t xml:space="preserve"> 0</t>
    </r>
  </si>
  <si>
    <r>
      <t>Select at which p</t>
    </r>
    <r>
      <rPr>
        <i/>
        <sz val="10"/>
        <color indexed="62"/>
        <rFont val="Arial"/>
        <family val="2"/>
      </rPr>
      <t>F</t>
    </r>
    <r>
      <rPr>
        <sz val="10"/>
        <color indexed="62"/>
        <rFont val="Arial"/>
        <family val="2"/>
      </rPr>
      <t xml:space="preserve"> value the MWHC has been determined.</t>
    </r>
  </si>
  <si>
    <r>
      <t>v</t>
    </r>
    <r>
      <rPr>
        <sz val="10"/>
        <color indexed="23"/>
        <rFont val="Arial"/>
        <family val="2"/>
      </rPr>
      <t>/</t>
    </r>
    <r>
      <rPr>
        <i/>
        <sz val="10"/>
        <color indexed="23"/>
        <rFont val="Arial"/>
        <family val="2"/>
      </rPr>
      <t>v</t>
    </r>
  </si>
  <si>
    <t>Final' MWHC in v/v and corrected for the pF at which it was determined</t>
  </si>
  <si>
    <t>To correct for the pF at which pF is determined; Is read from sheet 'Correction MWHC'.</t>
  </si>
  <si>
    <t>FC in v/v or m/m?</t>
  </si>
  <si>
    <t>Clay (%)</t>
  </si>
  <si>
    <t>1. Assignment of Staringreeks soil texture class to testsoil.</t>
  </si>
  <si>
    <t xml:space="preserve">Soil texture class ' Staringreeks' </t>
  </si>
  <si>
    <t>'Building block'</t>
  </si>
  <si>
    <t>w/w</t>
  </si>
  <si>
    <t>MWHC in v/v or w/w?</t>
  </si>
  <si>
    <t>List box for v/v or w/w.</t>
  </si>
  <si>
    <t>Soil texture class</t>
  </si>
  <si>
    <r>
      <t xml:space="preserve">Select whether MWHC is entered on a </t>
    </r>
    <r>
      <rPr>
        <i/>
        <sz val="10"/>
        <color indexed="62"/>
        <rFont val="Arial"/>
        <family val="2"/>
      </rPr>
      <t>v</t>
    </r>
    <r>
      <rPr>
        <sz val="10"/>
        <color indexed="62"/>
        <rFont val="Arial"/>
        <family val="2"/>
      </rPr>
      <t>/</t>
    </r>
    <r>
      <rPr>
        <i/>
        <sz val="10"/>
        <color indexed="62"/>
        <rFont val="Arial"/>
        <family val="2"/>
      </rPr>
      <t>v</t>
    </r>
    <r>
      <rPr>
        <sz val="10"/>
        <color indexed="62"/>
        <rFont val="Arial"/>
        <family val="2"/>
      </rPr>
      <t xml:space="preserve"> basis or on a </t>
    </r>
    <r>
      <rPr>
        <i/>
        <sz val="10"/>
        <color indexed="62"/>
        <rFont val="Arial"/>
        <family val="2"/>
      </rPr>
      <t>w</t>
    </r>
    <r>
      <rPr>
        <sz val="10"/>
        <color indexed="62"/>
        <rFont val="Arial"/>
        <family val="2"/>
      </rPr>
      <t>/</t>
    </r>
    <r>
      <rPr>
        <i/>
        <sz val="10"/>
        <color indexed="62"/>
        <rFont val="Arial"/>
        <family val="2"/>
      </rPr>
      <t>w</t>
    </r>
    <r>
      <rPr>
        <sz val="10"/>
        <color indexed="62"/>
        <rFont val="Arial"/>
        <family val="2"/>
      </rPr>
      <t xml:space="preserve"> basis.</t>
    </r>
  </si>
  <si>
    <r>
      <t xml:space="preserve">Select whether field capacity is given on a </t>
    </r>
    <r>
      <rPr>
        <i/>
        <sz val="10"/>
        <color indexed="62"/>
        <rFont val="Arial"/>
        <family val="2"/>
      </rPr>
      <t>v</t>
    </r>
    <r>
      <rPr>
        <sz val="10"/>
        <color indexed="62"/>
        <rFont val="Arial"/>
        <family val="2"/>
      </rPr>
      <t>/</t>
    </r>
    <r>
      <rPr>
        <i/>
        <sz val="10"/>
        <color indexed="62"/>
        <rFont val="Arial"/>
        <family val="2"/>
      </rPr>
      <t>v</t>
    </r>
    <r>
      <rPr>
        <sz val="10"/>
        <color indexed="62"/>
        <rFont val="Arial"/>
        <family val="2"/>
      </rPr>
      <t xml:space="preserve"> basis or on a </t>
    </r>
    <r>
      <rPr>
        <i/>
        <sz val="10"/>
        <color indexed="62"/>
        <rFont val="Arial"/>
        <family val="2"/>
      </rPr>
      <t>w</t>
    </r>
    <r>
      <rPr>
        <sz val="10"/>
        <color indexed="62"/>
        <rFont val="Arial"/>
        <family val="2"/>
      </rPr>
      <t>/</t>
    </r>
    <r>
      <rPr>
        <i/>
        <sz val="10"/>
        <color indexed="62"/>
        <rFont val="Arial"/>
        <family val="2"/>
      </rPr>
      <t>w</t>
    </r>
    <r>
      <rPr>
        <sz val="10"/>
        <color indexed="62"/>
        <rFont val="Arial"/>
        <family val="2"/>
      </rPr>
      <t xml:space="preserve"> basis.</t>
    </r>
  </si>
  <si>
    <t>SumError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</si>
</sst>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1" formatCode="_-* #,##0.00_-;_-* #,##0.00\-;_-* &quot;-&quot;??_-;_-@_-"/>
    <numFmt numFmtId="172" formatCode="0.0000"/>
    <numFmt numFmtId="173" formatCode="0.0"/>
    <numFmt numFmtId="174" formatCode="_-* #,##0.0000_-;_-* #,##0.0000\-;_-* &quot;-&quot;??_-;_-@_-"/>
    <numFmt numFmtId="175" formatCode="0.000"/>
    <numFmt numFmtId="178" formatCode="_-* #,##0.0_-;_-* #,##0.0\-;_-* &quot;-&quot;??_-;_-@_-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4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vertAlign val="superscript"/>
      <sz val="10"/>
      <name val="Arial"/>
      <family val="2"/>
    </font>
    <font>
      <i/>
      <sz val="10"/>
      <color indexed="23"/>
      <name val="Arial"/>
      <family val="2"/>
    </font>
    <font>
      <vertAlign val="subscript"/>
      <sz val="10"/>
      <color indexed="23"/>
      <name val="Arial"/>
      <family val="2"/>
    </font>
    <font>
      <vertAlign val="subscript"/>
      <sz val="10"/>
      <name val="Arial"/>
      <family val="2"/>
    </font>
    <font>
      <i/>
      <vertAlign val="subscript"/>
      <sz val="10"/>
      <color indexed="2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color indexed="12"/>
      <name val="Arial"/>
      <family val="2"/>
    </font>
    <font>
      <sz val="8"/>
      <color indexed="81"/>
      <name val="Arial"/>
      <family val="2"/>
    </font>
    <font>
      <i/>
      <sz val="10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1" xfId="0" applyFill="1" applyBorder="1" applyProtection="1"/>
    <xf numFmtId="0" fontId="4" fillId="2" borderId="2" xfId="0" applyFont="1" applyFill="1" applyBorder="1" applyProtection="1"/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left"/>
    </xf>
    <xf numFmtId="0" fontId="0" fillId="2" borderId="3" xfId="0" applyFill="1" applyBorder="1" applyProtection="1"/>
    <xf numFmtId="0" fontId="0" fillId="2" borderId="4" xfId="0" applyFill="1" applyBorder="1" applyProtection="1"/>
    <xf numFmtId="0" fontId="5" fillId="0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Protection="1"/>
    <xf numFmtId="0" fontId="9" fillId="2" borderId="0" xfId="0" applyFont="1" applyFill="1" applyBorder="1" applyProtection="1"/>
    <xf numFmtId="0" fontId="10" fillId="3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/>
    </xf>
    <xf numFmtId="0" fontId="11" fillId="3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10" fillId="2" borderId="8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left"/>
    </xf>
    <xf numFmtId="0" fontId="10" fillId="2" borderId="8" xfId="0" applyFont="1" applyFill="1" applyBorder="1" applyProtection="1"/>
    <xf numFmtId="0" fontId="1" fillId="2" borderId="8" xfId="0" applyFont="1" applyFill="1" applyBorder="1" applyProtection="1"/>
    <xf numFmtId="0" fontId="0" fillId="2" borderId="9" xfId="0" applyFill="1" applyBorder="1" applyProtection="1"/>
    <xf numFmtId="0" fontId="0" fillId="0" borderId="5" xfId="0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172" fontId="8" fillId="2" borderId="0" xfId="0" applyNumberFormat="1" applyFont="1" applyFill="1" applyBorder="1" applyAlignment="1" applyProtection="1">
      <alignment horizontal="center"/>
    </xf>
    <xf numFmtId="173" fontId="10" fillId="3" borderId="0" xfId="0" applyNumberFormat="1" applyFont="1" applyFill="1" applyBorder="1" applyAlignment="1" applyProtection="1">
      <alignment horizontal="center"/>
    </xf>
    <xf numFmtId="173" fontId="10" fillId="2" borderId="0" xfId="0" applyNumberFormat="1" applyFont="1" applyFill="1" applyBorder="1" applyAlignment="1" applyProtection="1">
      <alignment horizontal="left"/>
    </xf>
    <xf numFmtId="49" fontId="0" fillId="2" borderId="0" xfId="0" applyNumberFormat="1" applyFill="1" applyBorder="1" applyProtection="1"/>
    <xf numFmtId="173" fontId="0" fillId="2" borderId="8" xfId="0" applyNumberFormat="1" applyFill="1" applyBorder="1" applyProtection="1"/>
    <xf numFmtId="173" fontId="0" fillId="2" borderId="8" xfId="0" applyNumberFormat="1" applyFill="1" applyBorder="1" applyAlignment="1" applyProtection="1">
      <alignment horizontal="left"/>
    </xf>
    <xf numFmtId="49" fontId="0" fillId="2" borderId="8" xfId="0" applyNumberFormat="1" applyFill="1" applyBorder="1" applyProtection="1"/>
    <xf numFmtId="49" fontId="0" fillId="2" borderId="0" xfId="0" applyNumberFormat="1" applyFill="1" applyProtection="1"/>
    <xf numFmtId="49" fontId="0" fillId="2" borderId="2" xfId="0" applyNumberFormat="1" applyFill="1" applyBorder="1" applyProtection="1"/>
    <xf numFmtId="172" fontId="6" fillId="2" borderId="0" xfId="0" applyNumberFormat="1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/>
    </xf>
    <xf numFmtId="173" fontId="0" fillId="0" borderId="5" xfId="0" applyNumberFormat="1" applyFill="1" applyBorder="1" applyAlignment="1" applyProtection="1">
      <alignment horizontal="center"/>
      <protection locked="0"/>
    </xf>
    <xf numFmtId="0" fontId="11" fillId="2" borderId="0" xfId="0" applyFont="1" applyFill="1" applyBorder="1" applyProtection="1"/>
    <xf numFmtId="172" fontId="10" fillId="3" borderId="0" xfId="0" applyNumberFormat="1" applyFont="1" applyFill="1" applyBorder="1" applyAlignment="1" applyProtection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21" fillId="0" borderId="0" xfId="0" applyFont="1"/>
    <xf numFmtId="0" fontId="12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173" fontId="0" fillId="4" borderId="10" xfId="0" applyNumberFormat="1" applyFill="1" applyBorder="1" applyAlignment="1" applyProtection="1">
      <alignment horizontal="center"/>
    </xf>
    <xf numFmtId="173" fontId="0" fillId="0" borderId="0" xfId="0" applyNumberFormat="1" applyProtection="1"/>
    <xf numFmtId="174" fontId="0" fillId="0" borderId="0" xfId="1" applyNumberFormat="1" applyFont="1" applyProtection="1"/>
    <xf numFmtId="0" fontId="0" fillId="2" borderId="11" xfId="0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1" fontId="0" fillId="0" borderId="0" xfId="0" applyNumberFormat="1" applyProtection="1"/>
    <xf numFmtId="172" fontId="0" fillId="0" borderId="0" xfId="0" applyNumberFormat="1" applyProtection="1"/>
    <xf numFmtId="0" fontId="21" fillId="0" borderId="0" xfId="0" applyFont="1" applyProtection="1"/>
    <xf numFmtId="0" fontId="10" fillId="0" borderId="0" xfId="0" applyFont="1" applyProtection="1"/>
    <xf numFmtId="0" fontId="0" fillId="0" borderId="0" xfId="0" applyAlignment="1" applyProtection="1">
      <alignment horizontal="right"/>
    </xf>
    <xf numFmtId="172" fontId="0" fillId="0" borderId="0" xfId="0" applyNumberFormat="1" applyAlignment="1" applyProtection="1">
      <alignment horizontal="right"/>
    </xf>
    <xf numFmtId="0" fontId="0" fillId="0" borderId="0" xfId="0" quotePrefix="1" applyProtection="1"/>
    <xf numFmtId="0" fontId="11" fillId="0" borderId="0" xfId="0" applyFont="1" applyProtection="1"/>
    <xf numFmtId="175" fontId="0" fillId="0" borderId="0" xfId="0" applyNumberFormat="1" applyProtection="1"/>
    <xf numFmtId="0" fontId="11" fillId="2" borderId="12" xfId="0" applyFont="1" applyFill="1" applyBorder="1" applyProtection="1"/>
    <xf numFmtId="178" fontId="0" fillId="0" borderId="0" xfId="1" applyNumberFormat="1" applyFont="1" applyProtection="1"/>
    <xf numFmtId="0" fontId="0" fillId="5" borderId="14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0" xfId="0" applyFill="1" applyBorder="1"/>
    <xf numFmtId="0" fontId="0" fillId="5" borderId="18" xfId="0" applyFill="1" applyBorder="1"/>
    <xf numFmtId="0" fontId="0" fillId="5" borderId="0" xfId="0" applyFill="1" applyBorder="1"/>
    <xf numFmtId="0" fontId="0" fillId="5" borderId="19" xfId="0" applyFill="1" applyBorder="1"/>
    <xf numFmtId="0" fontId="0" fillId="5" borderId="16" xfId="0" applyFill="1" applyBorder="1"/>
    <xf numFmtId="0" fontId="0" fillId="5" borderId="15" xfId="0" applyFill="1" applyBorder="1"/>
    <xf numFmtId="0" fontId="0" fillId="6" borderId="18" xfId="0" applyFill="1" applyBorder="1"/>
    <xf numFmtId="0" fontId="0" fillId="6" borderId="19" xfId="0" quotePrefix="1" applyFill="1" applyBorder="1"/>
    <xf numFmtId="0" fontId="0" fillId="6" borderId="20" xfId="0" applyFill="1" applyBorder="1"/>
    <xf numFmtId="0" fontId="11" fillId="5" borderId="18" xfId="0" applyFont="1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14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0</xdr:rowOff>
    </xdr:from>
    <xdr:to>
      <xdr:col>14</xdr:col>
      <xdr:colOff>514350</xdr:colOff>
      <xdr:row>2</xdr:row>
      <xdr:rowOff>9525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CCC05191-5FC0-4E06-B919-9E34D057EAA1}"/>
            </a:ext>
          </a:extLst>
        </xdr:cNvPr>
        <xdr:cNvSpPr txBox="1">
          <a:spLocks noChangeArrowheads="1"/>
        </xdr:cNvSpPr>
      </xdr:nvSpPr>
      <xdr:spPr bwMode="auto">
        <a:xfrm>
          <a:off x="8629650" y="0"/>
          <a:ext cx="1219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nl-NL" sz="1600" b="0" i="0" u="none" strike="noStrike" baseline="0">
              <a:solidFill>
                <a:srgbClr val="00FF00"/>
              </a:solidFill>
              <a:latin typeface="+mn-lt"/>
            </a:rPr>
            <a:t>RIVM</a:t>
          </a:r>
          <a:endParaRPr lang="nl-NL" sz="1600" b="0" i="0" u="none" strike="noStrike" baseline="0">
            <a:solidFill>
              <a:srgbClr val="FFCC00"/>
            </a:solidFill>
            <a:latin typeface="+mn-lt"/>
          </a:endParaRPr>
        </a:p>
        <a:p>
          <a:pPr algn="l" rtl="0">
            <a:defRPr sz="1000"/>
          </a:pPr>
          <a:endParaRPr lang="nl-NL" sz="1600" b="0" i="0" u="none" strike="noStrike" baseline="0">
            <a:solidFill>
              <a:srgbClr val="FFCC00"/>
            </a:solidFill>
            <a:latin typeface="RIVM Logos V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N54"/>
  <sheetViews>
    <sheetView showGridLines="0" showRowColHeaders="0" tabSelected="1" workbookViewId="0">
      <selection activeCell="D4" sqref="D4"/>
    </sheetView>
  </sheetViews>
  <sheetFormatPr defaultRowHeight="12.75" x14ac:dyDescent="0.2"/>
  <cols>
    <col min="1" max="1" width="13.42578125" style="1" customWidth="1"/>
    <col min="2" max="2" width="1.28515625" style="1" customWidth="1"/>
    <col min="3" max="3" width="33.7109375" style="1" customWidth="1"/>
    <col min="4" max="4" width="13.7109375" style="1" customWidth="1"/>
    <col min="5" max="5" width="3.140625" style="1" customWidth="1"/>
    <col min="6" max="6" width="5.42578125" style="1" customWidth="1"/>
    <col min="7" max="7" width="5.28515625" style="1" customWidth="1"/>
    <col min="8" max="16384" width="9.140625" style="1"/>
  </cols>
  <sheetData>
    <row r="1" spans="2:14" x14ac:dyDescent="0.2">
      <c r="B1" s="2"/>
      <c r="E1" s="3"/>
    </row>
    <row r="2" spans="2:14" x14ac:dyDescent="0.2">
      <c r="B2" s="2"/>
      <c r="C2" s="4" t="s">
        <v>156</v>
      </c>
      <c r="D2" s="2"/>
      <c r="E2" s="5"/>
      <c r="F2" s="2"/>
      <c r="I2" s="2"/>
      <c r="J2" s="2"/>
      <c r="K2" s="2"/>
      <c r="L2" s="2"/>
      <c r="M2" s="2"/>
      <c r="N2" s="2"/>
    </row>
    <row r="3" spans="2:14" x14ac:dyDescent="0.2">
      <c r="B3" s="6"/>
      <c r="C3" s="7" t="s">
        <v>47</v>
      </c>
      <c r="D3" s="8"/>
      <c r="E3" s="9"/>
      <c r="F3" s="8"/>
      <c r="G3" s="8"/>
      <c r="H3" s="8"/>
      <c r="I3" s="8"/>
      <c r="J3" s="8"/>
      <c r="K3" s="8"/>
      <c r="L3" s="8"/>
      <c r="M3" s="8"/>
      <c r="N3" s="10"/>
    </row>
    <row r="4" spans="2:14" x14ac:dyDescent="0.2">
      <c r="B4" s="11"/>
      <c r="C4" s="2" t="s">
        <v>48</v>
      </c>
      <c r="D4" s="12">
        <v>45.6</v>
      </c>
      <c r="E4" s="5" t="s">
        <v>49</v>
      </c>
      <c r="F4" s="2"/>
      <c r="G4" s="2"/>
      <c r="H4" s="2"/>
      <c r="I4" s="2"/>
      <c r="J4" s="2"/>
      <c r="K4" s="2"/>
      <c r="L4" s="2"/>
      <c r="M4" s="2"/>
      <c r="N4" s="13"/>
    </row>
    <row r="5" spans="2:14" x14ac:dyDescent="0.2">
      <c r="B5" s="11"/>
      <c r="C5" s="2" t="s">
        <v>50</v>
      </c>
      <c r="D5" s="12">
        <v>10</v>
      </c>
      <c r="E5" s="5" t="s">
        <v>49</v>
      </c>
      <c r="F5" s="2"/>
      <c r="G5" s="2"/>
      <c r="H5" s="2"/>
      <c r="I5" s="2"/>
      <c r="J5" s="2"/>
      <c r="K5" s="2"/>
      <c r="L5" s="2"/>
      <c r="M5" s="2"/>
      <c r="N5" s="13"/>
    </row>
    <row r="6" spans="2:14" x14ac:dyDescent="0.2">
      <c r="B6" s="11"/>
      <c r="C6" s="2" t="s">
        <v>51</v>
      </c>
      <c r="D6" s="12">
        <v>44.4</v>
      </c>
      <c r="E6" s="5"/>
      <c r="F6" s="2"/>
      <c r="G6" s="2"/>
      <c r="H6" s="2"/>
      <c r="I6" s="2"/>
      <c r="J6" s="2"/>
      <c r="K6" s="2"/>
      <c r="L6" s="2"/>
      <c r="M6" s="2"/>
      <c r="N6" s="13"/>
    </row>
    <row r="7" spans="2:14" x14ac:dyDescent="0.2">
      <c r="B7" s="11"/>
      <c r="C7" s="2"/>
      <c r="D7" s="14"/>
      <c r="E7" s="5"/>
      <c r="F7" s="15" t="s">
        <v>52</v>
      </c>
      <c r="G7" s="16">
        <f>Sum</f>
        <v>100</v>
      </c>
      <c r="H7" s="15" t="s">
        <v>49</v>
      </c>
      <c r="I7" s="2"/>
      <c r="J7" s="2"/>
      <c r="K7" s="2"/>
      <c r="L7" s="2"/>
      <c r="M7" s="2"/>
      <c r="N7" s="13"/>
    </row>
    <row r="8" spans="2:14" x14ac:dyDescent="0.2">
      <c r="B8" s="11"/>
      <c r="C8" s="2" t="s">
        <v>53</v>
      </c>
      <c r="D8" s="12">
        <v>4.93</v>
      </c>
      <c r="E8" s="5" t="s">
        <v>49</v>
      </c>
      <c r="F8" s="2"/>
      <c r="G8" s="2"/>
      <c r="H8" s="2"/>
      <c r="I8" s="2"/>
      <c r="J8" s="2"/>
      <c r="K8" s="2"/>
      <c r="L8" s="2"/>
      <c r="M8" s="2"/>
      <c r="N8" s="13"/>
    </row>
    <row r="9" spans="2:14" x14ac:dyDescent="0.2">
      <c r="B9" s="11"/>
      <c r="C9" s="2"/>
      <c r="D9" s="17"/>
      <c r="E9" s="5"/>
      <c r="F9" s="2"/>
      <c r="G9" s="2"/>
      <c r="H9" s="2"/>
      <c r="I9" s="2"/>
      <c r="J9" s="2"/>
      <c r="K9" s="2"/>
      <c r="L9" s="2"/>
      <c r="M9" s="2"/>
      <c r="N9" s="13"/>
    </row>
    <row r="10" spans="2:14" x14ac:dyDescent="0.2">
      <c r="B10" s="11"/>
      <c r="C10" s="18" t="s">
        <v>54</v>
      </c>
      <c r="D10" s="19"/>
      <c r="E10" s="20"/>
      <c r="F10" s="2"/>
      <c r="G10" s="2"/>
      <c r="H10" s="2"/>
      <c r="I10" s="2"/>
      <c r="J10" s="2"/>
      <c r="K10" s="2"/>
      <c r="L10" s="2"/>
      <c r="M10" s="2"/>
      <c r="N10" s="13"/>
    </row>
    <row r="11" spans="2:14" x14ac:dyDescent="0.2">
      <c r="B11" s="11"/>
      <c r="C11" s="21" t="s">
        <v>55</v>
      </c>
      <c r="D11" s="19">
        <f>Loam</f>
        <v>54.4</v>
      </c>
      <c r="E11" s="20" t="s">
        <v>49</v>
      </c>
      <c r="F11" s="2"/>
      <c r="G11" s="2"/>
      <c r="H11" s="2"/>
      <c r="I11" s="2"/>
      <c r="J11" s="2"/>
      <c r="K11" s="2"/>
      <c r="L11" s="2"/>
      <c r="M11" s="2"/>
      <c r="N11" s="13"/>
    </row>
    <row r="12" spans="2:14" x14ac:dyDescent="0.2">
      <c r="B12" s="11"/>
      <c r="C12" s="2"/>
      <c r="D12" s="17"/>
      <c r="E12" s="5"/>
      <c r="F12" s="2"/>
      <c r="G12" s="2"/>
      <c r="H12" s="2"/>
      <c r="I12" s="2"/>
      <c r="J12" s="2"/>
      <c r="K12" s="2"/>
      <c r="L12" s="2"/>
      <c r="M12" s="2"/>
      <c r="N12" s="13"/>
    </row>
    <row r="13" spans="2:14" x14ac:dyDescent="0.2">
      <c r="B13" s="11"/>
      <c r="C13" s="22" t="s">
        <v>56</v>
      </c>
      <c r="D13" s="2"/>
      <c r="E13" s="5"/>
      <c r="F13" s="2"/>
      <c r="G13" s="2"/>
      <c r="H13" s="2"/>
      <c r="I13" s="2"/>
      <c r="J13" s="2"/>
      <c r="K13" s="2"/>
      <c r="L13" s="2"/>
      <c r="M13" s="2"/>
      <c r="N13" s="13"/>
    </row>
    <row r="14" spans="2:14" x14ac:dyDescent="0.2">
      <c r="B14" s="11"/>
      <c r="C14" s="2" t="s">
        <v>157</v>
      </c>
      <c r="D14" s="23" t="str">
        <f>Building_block</f>
        <v>B11</v>
      </c>
      <c r="E14" s="24"/>
      <c r="G14" s="25" t="str">
        <f>Building_block_desc_NL</f>
        <v>matig zware klei</v>
      </c>
      <c r="H14" s="25"/>
      <c r="I14" s="25"/>
      <c r="J14" s="25"/>
      <c r="K14" s="25"/>
      <c r="L14" s="25"/>
      <c r="M14" s="25"/>
      <c r="N14" s="13"/>
    </row>
    <row r="15" spans="2:14" x14ac:dyDescent="0.2">
      <c r="B15" s="11"/>
      <c r="C15" s="2"/>
      <c r="D15" s="26"/>
      <c r="E15" s="24"/>
      <c r="N15" s="13"/>
    </row>
    <row r="16" spans="2:14" x14ac:dyDescent="0.2">
      <c r="B16" s="27"/>
      <c r="C16" s="28"/>
      <c r="D16" s="29"/>
      <c r="E16" s="30"/>
      <c r="F16" s="31"/>
      <c r="G16" s="32"/>
      <c r="H16" s="32"/>
      <c r="I16" s="32"/>
      <c r="J16" s="32"/>
      <c r="K16" s="32"/>
      <c r="L16" s="32"/>
      <c r="M16" s="28"/>
      <c r="N16" s="33"/>
    </row>
    <row r="17" spans="2:14" x14ac:dyDescent="0.2">
      <c r="B17" s="2"/>
      <c r="E17" s="3"/>
    </row>
    <row r="18" spans="2:14" x14ac:dyDescent="0.2">
      <c r="B18" s="2"/>
      <c r="C18" s="4" t="s">
        <v>57</v>
      </c>
      <c r="D18" s="2"/>
      <c r="E18" s="5"/>
      <c r="F18" s="2"/>
      <c r="G18" s="2"/>
      <c r="H18" s="2"/>
      <c r="I18" s="2"/>
      <c r="J18" s="2"/>
      <c r="K18" s="2"/>
      <c r="L18" s="2"/>
      <c r="M18" s="2"/>
      <c r="N18" s="2"/>
    </row>
    <row r="19" spans="2:14" x14ac:dyDescent="0.2">
      <c r="B19" s="6"/>
      <c r="C19" s="7" t="s">
        <v>47</v>
      </c>
      <c r="D19" s="8"/>
      <c r="E19" s="9"/>
      <c r="F19" s="8"/>
      <c r="G19" s="8"/>
      <c r="H19" s="8"/>
      <c r="I19" s="8"/>
      <c r="J19" s="8"/>
      <c r="K19" s="8"/>
      <c r="L19" s="8"/>
      <c r="M19" s="8"/>
      <c r="N19" s="10"/>
    </row>
    <row r="20" spans="2:14" x14ac:dyDescent="0.2">
      <c r="B20" s="11"/>
      <c r="C20" s="2" t="s">
        <v>58</v>
      </c>
      <c r="D20" s="34">
        <v>28.9</v>
      </c>
      <c r="E20" s="5" t="s">
        <v>49</v>
      </c>
      <c r="I20" s="2"/>
      <c r="J20" s="2"/>
      <c r="K20" s="2"/>
      <c r="L20" s="2"/>
      <c r="M20" s="2"/>
      <c r="N20" s="13"/>
    </row>
    <row r="21" spans="2:14" x14ac:dyDescent="0.2">
      <c r="B21" s="11"/>
      <c r="C21" s="2" t="s">
        <v>136</v>
      </c>
      <c r="D21" s="34" t="s">
        <v>67</v>
      </c>
      <c r="E21" s="35" t="s">
        <v>59</v>
      </c>
      <c r="G21" s="36" t="s">
        <v>163</v>
      </c>
      <c r="I21" s="2"/>
      <c r="J21" s="2"/>
      <c r="K21" s="2"/>
      <c r="L21" s="2"/>
      <c r="M21" s="2"/>
      <c r="N21" s="13"/>
    </row>
    <row r="22" spans="2:14" x14ac:dyDescent="0.2">
      <c r="B22" s="11"/>
      <c r="C22" s="2" t="s">
        <v>138</v>
      </c>
      <c r="D22" s="34" t="s">
        <v>139</v>
      </c>
      <c r="E22" s="35" t="s">
        <v>59</v>
      </c>
      <c r="G22" s="36" t="s">
        <v>150</v>
      </c>
      <c r="I22" s="2"/>
      <c r="J22" s="2"/>
      <c r="K22" s="2"/>
      <c r="L22" s="2"/>
      <c r="M22" s="2"/>
      <c r="N22" s="13"/>
    </row>
    <row r="23" spans="2:14" x14ac:dyDescent="0.2">
      <c r="B23" s="11"/>
      <c r="C23" s="2" t="s">
        <v>60</v>
      </c>
      <c r="D23" s="34">
        <v>70</v>
      </c>
      <c r="E23" s="5" t="s">
        <v>49</v>
      </c>
      <c r="F23" s="2"/>
      <c r="G23" s="36" t="s">
        <v>61</v>
      </c>
      <c r="I23" s="2"/>
      <c r="J23" s="2"/>
      <c r="K23" s="2"/>
      <c r="L23" s="2"/>
      <c r="M23" s="2"/>
      <c r="N23" s="13"/>
    </row>
    <row r="24" spans="2:14" ht="14.25" x14ac:dyDescent="0.2">
      <c r="B24" s="11"/>
      <c r="C24" s="2" t="s">
        <v>62</v>
      </c>
      <c r="D24" s="34"/>
      <c r="E24" s="5" t="s">
        <v>63</v>
      </c>
      <c r="F24" s="2"/>
      <c r="G24" s="36" t="s">
        <v>64</v>
      </c>
      <c r="I24" s="2"/>
      <c r="J24" s="2"/>
      <c r="K24" s="2"/>
      <c r="L24" s="2"/>
      <c r="M24" s="2"/>
      <c r="N24" s="13"/>
    </row>
    <row r="25" spans="2:14" x14ac:dyDescent="0.2">
      <c r="B25" s="11"/>
      <c r="C25" s="2"/>
      <c r="D25" s="17"/>
      <c r="E25" s="5"/>
      <c r="F25" s="2"/>
      <c r="G25" s="36" t="s">
        <v>65</v>
      </c>
      <c r="I25" s="2"/>
      <c r="J25" s="2"/>
      <c r="K25" s="2"/>
      <c r="L25" s="2"/>
      <c r="M25" s="2"/>
      <c r="N25" s="13"/>
    </row>
    <row r="26" spans="2:14" x14ac:dyDescent="0.2">
      <c r="B26" s="11"/>
      <c r="C26" s="18" t="s">
        <v>54</v>
      </c>
      <c r="D26" s="19"/>
      <c r="E26" s="20"/>
      <c r="F26" s="2"/>
      <c r="G26" s="2"/>
      <c r="H26" s="2"/>
      <c r="I26" s="2"/>
      <c r="J26" s="2"/>
      <c r="K26" s="2"/>
      <c r="L26" s="2"/>
      <c r="M26" s="2"/>
      <c r="N26" s="13"/>
    </row>
    <row r="27" spans="2:14" x14ac:dyDescent="0.2">
      <c r="B27" s="11"/>
      <c r="C27" s="21" t="s">
        <v>149</v>
      </c>
      <c r="D27" s="37">
        <f>MWHC_vv_pF0</f>
        <v>0.28899999999999998</v>
      </c>
      <c r="E27" s="55" t="s">
        <v>151</v>
      </c>
      <c r="F27" s="2"/>
      <c r="G27" s="2"/>
      <c r="H27" s="2"/>
      <c r="I27" s="2"/>
      <c r="J27" s="2"/>
      <c r="K27" s="2"/>
      <c r="L27" s="2"/>
      <c r="M27" s="2"/>
      <c r="N27" s="13"/>
    </row>
    <row r="28" spans="2:14" ht="15.75" x14ac:dyDescent="0.3">
      <c r="B28" s="11"/>
      <c r="C28" s="21" t="s">
        <v>66</v>
      </c>
      <c r="D28" s="37">
        <f>θact</f>
        <v>0.20229999999999998</v>
      </c>
      <c r="E28" s="55" t="s">
        <v>151</v>
      </c>
      <c r="F28" s="2"/>
      <c r="G28" s="2"/>
      <c r="H28" s="2"/>
      <c r="I28" s="2"/>
      <c r="J28" s="2"/>
      <c r="K28" s="2"/>
      <c r="L28" s="2"/>
      <c r="M28" s="2"/>
      <c r="N28" s="13"/>
    </row>
    <row r="29" spans="2:14" x14ac:dyDescent="0.2">
      <c r="B29" s="11"/>
      <c r="C29" s="2"/>
      <c r="D29" s="17"/>
      <c r="E29" s="5"/>
      <c r="F29" s="2"/>
      <c r="G29" s="2"/>
      <c r="H29" s="2"/>
      <c r="I29" s="2"/>
      <c r="J29" s="2"/>
      <c r="K29" s="2"/>
      <c r="L29" s="2"/>
      <c r="M29" s="2"/>
      <c r="N29" s="13"/>
    </row>
    <row r="30" spans="2:14" x14ac:dyDescent="0.2">
      <c r="B30" s="11"/>
      <c r="C30" s="22" t="s">
        <v>56</v>
      </c>
      <c r="D30" s="2"/>
      <c r="E30" s="5"/>
      <c r="F30" s="2"/>
      <c r="G30" s="2"/>
      <c r="H30" s="2"/>
      <c r="I30" s="2"/>
      <c r="J30" s="2"/>
      <c r="K30" s="2"/>
      <c r="L30" s="2"/>
      <c r="M30" s="2"/>
      <c r="N30" s="13"/>
    </row>
    <row r="31" spans="2:14" ht="15.75" x14ac:dyDescent="0.3">
      <c r="B31" s="11"/>
      <c r="C31" s="2" t="s">
        <v>68</v>
      </c>
      <c r="D31" s="38">
        <f>pF_θact</f>
        <v>6.10857221523736</v>
      </c>
      <c r="E31" s="39"/>
      <c r="F31" s="40"/>
      <c r="G31" s="40"/>
      <c r="H31" s="40"/>
      <c r="I31" s="2"/>
      <c r="J31" s="2"/>
      <c r="K31" s="2"/>
      <c r="L31" s="2"/>
      <c r="M31" s="2"/>
      <c r="N31" s="13"/>
    </row>
    <row r="32" spans="2:14" x14ac:dyDescent="0.2">
      <c r="B32" s="27"/>
      <c r="C32" s="28"/>
      <c r="D32" s="41"/>
      <c r="E32" s="42"/>
      <c r="F32" s="43"/>
      <c r="G32" s="43"/>
      <c r="H32" s="43"/>
      <c r="I32" s="28"/>
      <c r="J32" s="28"/>
      <c r="K32" s="28"/>
      <c r="L32" s="28"/>
      <c r="M32" s="28"/>
      <c r="N32" s="33"/>
    </row>
    <row r="33" spans="2:14" x14ac:dyDescent="0.2">
      <c r="B33" s="2"/>
      <c r="E33" s="3"/>
      <c r="F33" s="44"/>
      <c r="G33" s="44"/>
      <c r="H33" s="44"/>
    </row>
    <row r="34" spans="2:14" x14ac:dyDescent="0.2">
      <c r="B34" s="2"/>
      <c r="C34" s="4" t="s">
        <v>69</v>
      </c>
      <c r="D34" s="2"/>
      <c r="E34" s="5"/>
      <c r="F34" s="40"/>
      <c r="G34" s="40"/>
      <c r="H34" s="40"/>
      <c r="I34" s="2"/>
      <c r="J34" s="2"/>
      <c r="K34" s="2"/>
      <c r="L34" s="2"/>
      <c r="M34" s="2"/>
      <c r="N34" s="2"/>
    </row>
    <row r="35" spans="2:14" x14ac:dyDescent="0.2">
      <c r="B35" s="6"/>
      <c r="C35" s="7" t="s">
        <v>47</v>
      </c>
      <c r="D35" s="8"/>
      <c r="E35" s="9"/>
      <c r="F35" s="45"/>
      <c r="G35" s="45"/>
      <c r="H35" s="45"/>
      <c r="I35" s="8"/>
      <c r="J35" s="8"/>
      <c r="K35" s="8"/>
      <c r="L35" s="8"/>
      <c r="M35" s="8"/>
      <c r="N35" s="10"/>
    </row>
    <row r="36" spans="2:14" x14ac:dyDescent="0.2">
      <c r="B36" s="11"/>
      <c r="C36" s="2" t="s">
        <v>70</v>
      </c>
      <c r="D36" s="34">
        <v>34</v>
      </c>
      <c r="E36" s="5" t="s">
        <v>49</v>
      </c>
      <c r="I36" s="2"/>
      <c r="J36" s="2"/>
      <c r="K36" s="2"/>
      <c r="L36" s="2"/>
      <c r="M36" s="2"/>
      <c r="N36" s="13"/>
    </row>
    <row r="37" spans="2:14" x14ac:dyDescent="0.2">
      <c r="B37" s="11"/>
      <c r="C37" s="2" t="s">
        <v>137</v>
      </c>
      <c r="D37" s="34" t="s">
        <v>159</v>
      </c>
      <c r="E37" s="35" t="s">
        <v>59</v>
      </c>
      <c r="F37" s="54"/>
      <c r="G37" s="36" t="s">
        <v>164</v>
      </c>
      <c r="H37" s="36"/>
      <c r="I37" s="2"/>
      <c r="J37" s="2"/>
      <c r="K37" s="2"/>
      <c r="L37" s="2"/>
      <c r="M37" s="2"/>
      <c r="N37" s="13"/>
    </row>
    <row r="38" spans="2:14" x14ac:dyDescent="0.2">
      <c r="B38" s="11"/>
      <c r="C38" s="2"/>
      <c r="D38" s="17"/>
      <c r="E38" s="5"/>
      <c r="F38" s="17"/>
      <c r="G38" s="35"/>
      <c r="H38" s="36"/>
      <c r="I38" s="2"/>
      <c r="J38" s="2"/>
      <c r="K38" s="2"/>
      <c r="L38" s="2"/>
      <c r="M38" s="2"/>
      <c r="N38" s="13"/>
    </row>
    <row r="39" spans="2:14" x14ac:dyDescent="0.2">
      <c r="B39" s="11"/>
      <c r="C39" s="18" t="s">
        <v>54</v>
      </c>
      <c r="D39" s="17"/>
      <c r="E39" s="5"/>
      <c r="F39" s="17"/>
      <c r="G39" s="35"/>
      <c r="H39" s="36"/>
      <c r="I39" s="2"/>
      <c r="J39" s="2"/>
      <c r="K39" s="2"/>
      <c r="L39" s="2"/>
      <c r="M39" s="2"/>
      <c r="N39" s="13"/>
    </row>
    <row r="40" spans="2:14" ht="15.75" x14ac:dyDescent="0.3">
      <c r="B40" s="11"/>
      <c r="C40" s="21" t="s">
        <v>71</v>
      </c>
      <c r="D40" s="46">
        <f>θfc_act</f>
        <v>0.51</v>
      </c>
      <c r="E40" s="55" t="s">
        <v>151</v>
      </c>
      <c r="F40" s="17"/>
      <c r="G40" s="35"/>
      <c r="I40" s="2"/>
      <c r="J40" s="2"/>
      <c r="K40" s="2"/>
      <c r="L40" s="2"/>
      <c r="M40" s="2"/>
      <c r="N40" s="13"/>
    </row>
    <row r="41" spans="2:14" x14ac:dyDescent="0.2">
      <c r="B41" s="11"/>
      <c r="C41" s="21" t="s">
        <v>72</v>
      </c>
      <c r="D41" s="46">
        <f>_0.75θfc_act</f>
        <v>0.38250000000000001</v>
      </c>
      <c r="E41" s="55" t="s">
        <v>151</v>
      </c>
      <c r="F41" s="17"/>
      <c r="G41" s="2"/>
      <c r="H41" s="2"/>
      <c r="I41" s="2"/>
      <c r="J41" s="2"/>
      <c r="K41" s="2"/>
      <c r="L41" s="2"/>
      <c r="M41" s="2"/>
      <c r="N41" s="13"/>
    </row>
    <row r="42" spans="2:14" x14ac:dyDescent="0.2">
      <c r="B42" s="11"/>
      <c r="C42" s="21"/>
      <c r="D42" s="17"/>
      <c r="E42" s="5"/>
      <c r="F42" s="17"/>
      <c r="G42" s="2"/>
      <c r="H42" s="2"/>
      <c r="I42" s="2"/>
      <c r="J42" s="2"/>
      <c r="K42" s="2"/>
      <c r="L42" s="2"/>
      <c r="M42" s="2"/>
      <c r="N42" s="13"/>
    </row>
    <row r="43" spans="2:14" x14ac:dyDescent="0.2">
      <c r="B43" s="11"/>
      <c r="C43" s="22" t="s">
        <v>56</v>
      </c>
      <c r="D43" s="2"/>
      <c r="E43" s="5"/>
      <c r="F43" s="40"/>
      <c r="G43" s="40"/>
      <c r="H43" s="40"/>
      <c r="I43" s="2"/>
      <c r="J43" s="2"/>
      <c r="K43" s="2"/>
      <c r="L43" s="2"/>
      <c r="M43" s="2"/>
      <c r="N43" s="13"/>
    </row>
    <row r="44" spans="2:14" ht="15.75" x14ac:dyDescent="0.3">
      <c r="B44" s="11"/>
      <c r="C44" s="14" t="s">
        <v>73</v>
      </c>
      <c r="D44" s="38">
        <f>pF_0.75FC</f>
        <v>3.4698489449631351</v>
      </c>
      <c r="E44" s="39"/>
      <c r="F44" s="40"/>
      <c r="G44" s="40"/>
      <c r="H44" s="40"/>
      <c r="I44" s="2"/>
      <c r="J44" s="2"/>
      <c r="K44" s="2"/>
      <c r="L44" s="2"/>
      <c r="M44" s="2"/>
      <c r="N44" s="13"/>
    </row>
    <row r="45" spans="2:14" x14ac:dyDescent="0.2">
      <c r="B45" s="27"/>
      <c r="C45" s="28"/>
      <c r="D45" s="28"/>
      <c r="E45" s="47"/>
      <c r="F45" s="28"/>
      <c r="G45" s="28"/>
      <c r="H45" s="28"/>
      <c r="I45" s="28"/>
      <c r="J45" s="28"/>
      <c r="K45" s="28"/>
      <c r="L45" s="28"/>
      <c r="M45" s="28"/>
      <c r="N45" s="33"/>
    </row>
    <row r="46" spans="2:14" x14ac:dyDescent="0.2">
      <c r="B46" s="2"/>
      <c r="E46" s="3"/>
    </row>
    <row r="47" spans="2:14" x14ac:dyDescent="0.2">
      <c r="B47" s="2"/>
      <c r="C47" s="4" t="s">
        <v>74</v>
      </c>
      <c r="D47" s="2"/>
      <c r="E47" s="5"/>
      <c r="F47" s="40"/>
      <c r="G47" s="40"/>
      <c r="H47" s="40"/>
    </row>
    <row r="48" spans="2:14" x14ac:dyDescent="0.2">
      <c r="B48" s="6"/>
      <c r="C48" s="7" t="s">
        <v>47</v>
      </c>
      <c r="D48" s="8"/>
      <c r="E48" s="9"/>
      <c r="F48" s="45"/>
      <c r="G48" s="45"/>
      <c r="H48" s="45"/>
      <c r="I48" s="8"/>
      <c r="J48" s="8"/>
      <c r="K48" s="8"/>
      <c r="L48" s="8"/>
      <c r="M48" s="8"/>
      <c r="N48" s="10"/>
    </row>
    <row r="49" spans="2:14" x14ac:dyDescent="0.2">
      <c r="B49" s="11"/>
      <c r="C49" s="2" t="s">
        <v>75</v>
      </c>
      <c r="D49" s="48">
        <v>1</v>
      </c>
      <c r="E49" s="5"/>
      <c r="F49" s="2"/>
      <c r="G49" s="2"/>
      <c r="H49" s="2"/>
      <c r="I49" s="2"/>
      <c r="J49" s="2"/>
      <c r="K49" s="2"/>
      <c r="L49" s="2"/>
      <c r="M49" s="2"/>
      <c r="N49" s="13"/>
    </row>
    <row r="50" spans="2:14" x14ac:dyDescent="0.2">
      <c r="B50" s="11"/>
      <c r="C50" s="2"/>
      <c r="D50" s="17"/>
      <c r="E50" s="5"/>
      <c r="F50" s="17"/>
      <c r="G50" s="2"/>
      <c r="H50" s="2"/>
      <c r="I50" s="2"/>
      <c r="J50" s="2"/>
      <c r="K50" s="2"/>
      <c r="L50" s="2"/>
      <c r="M50" s="2"/>
      <c r="N50" s="13"/>
    </row>
    <row r="51" spans="2:14" x14ac:dyDescent="0.2">
      <c r="B51" s="11"/>
      <c r="C51" s="22" t="s">
        <v>56</v>
      </c>
      <c r="D51" s="2"/>
      <c r="E51" s="5"/>
      <c r="F51" s="40"/>
      <c r="G51" s="40"/>
      <c r="H51" s="40"/>
      <c r="I51" s="2"/>
      <c r="J51" s="2"/>
      <c r="K51" s="2"/>
      <c r="L51" s="2"/>
      <c r="M51" s="2"/>
      <c r="N51" s="13"/>
    </row>
    <row r="52" spans="2:14" x14ac:dyDescent="0.2">
      <c r="B52" s="11"/>
      <c r="C52" s="49" t="s">
        <v>76</v>
      </c>
      <c r="D52" s="50">
        <f>θ_h</f>
        <v>0.58144709143832307</v>
      </c>
      <c r="E52" s="39"/>
      <c r="F52" s="40"/>
      <c r="G52" s="40"/>
      <c r="H52" s="40"/>
      <c r="I52" s="2"/>
      <c r="J52" s="2"/>
      <c r="K52" s="2"/>
      <c r="L52" s="2"/>
      <c r="M52" s="2"/>
      <c r="N52" s="13"/>
    </row>
    <row r="53" spans="2:14" x14ac:dyDescent="0.2">
      <c r="B53" s="27"/>
      <c r="C53" s="28"/>
      <c r="D53" s="28"/>
      <c r="E53" s="47"/>
      <c r="F53" s="28"/>
      <c r="G53" s="28"/>
      <c r="H53" s="28"/>
      <c r="I53" s="28"/>
      <c r="J53" s="28"/>
      <c r="K53" s="28"/>
      <c r="L53" s="28"/>
      <c r="M53" s="28"/>
      <c r="N53" s="33"/>
    </row>
    <row r="54" spans="2:14" x14ac:dyDescent="0.2">
      <c r="B54" s="2"/>
      <c r="E54" s="3"/>
    </row>
  </sheetData>
  <sheetProtection algorithmName="SHA-512" hashValue="d9bVMr88lpXNYNlX9hjWXhI/UfHx9IBcQDUlThlqKOd6OehuJ5ezSd4q6fJxNXxLNN2Bc/zzgYHuXWTFrtWeDQ==" saltValue="jCB980NL+8nImLJvP+YK0Q==" spinCount="100000" sheet="1" objects="1" scenarios="1" selectLockedCells="1"/>
  <phoneticPr fontId="2" type="noConversion"/>
  <conditionalFormatting sqref="D22 D20:E20">
    <cfRule type="expression" priority="1" stopIfTrue="1">
      <formula>AND(#REF!&lt;&gt;"",$D$19&lt;&gt;"")</formula>
    </cfRule>
  </conditionalFormatting>
  <conditionalFormatting sqref="G7">
    <cfRule type="cellIs" dxfId="1" priority="2" stopIfTrue="1" operator="notEqual">
      <formula>100</formula>
    </cfRule>
    <cfRule type="cellIs" dxfId="0" priority="3" stopIfTrue="1" operator="equal">
      <formula>100</formula>
    </cfRule>
  </conditionalFormatting>
  <dataValidations count="3">
    <dataValidation type="list" allowBlank="1" showInputMessage="1" showErrorMessage="1" sqref="F38:F42 F50">
      <formula1>MWHC_List</formula1>
    </dataValidation>
    <dataValidation type="list" errorStyle="warning" allowBlank="1" showInputMessage="1" showErrorMessage="1" errorTitle="Invalid entry" error="Select either v/v or m/m from the pull down menu. Undo this entry by clicking Cancel." sqref="D21 D37">
      <formula1>MWHC_List</formula1>
    </dataValidation>
    <dataValidation type="list" errorStyle="warning" allowBlank="1" showInputMessage="1" showErrorMessage="1" errorTitle="Invalid entry" error="Select either pF 0, pF 1 or pF 2 from the pull down menu. Undo this entry by clicking Cancel." sqref="D22">
      <formula1>pF_List</formula1>
    </dataValidation>
  </dataValidation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</sheetPr>
  <dimension ref="A1:G62"/>
  <sheetViews>
    <sheetView workbookViewId="0"/>
  </sheetViews>
  <sheetFormatPr defaultRowHeight="12.75" x14ac:dyDescent="0.2"/>
  <cols>
    <col min="1" max="1" width="16.7109375" customWidth="1"/>
  </cols>
  <sheetData>
    <row r="1" spans="1:7" x14ac:dyDescent="0.2">
      <c r="A1" s="51" t="s">
        <v>119</v>
      </c>
    </row>
    <row r="2" spans="1:7" x14ac:dyDescent="0.2">
      <c r="A2" s="83"/>
      <c r="B2" s="94" t="s">
        <v>117</v>
      </c>
      <c r="C2" s="95"/>
      <c r="D2" s="94" t="s">
        <v>155</v>
      </c>
      <c r="E2" s="95"/>
      <c r="F2" s="96" t="s">
        <v>118</v>
      </c>
      <c r="G2" s="95"/>
    </row>
    <row r="3" spans="1:7" x14ac:dyDescent="0.2">
      <c r="A3" s="90"/>
      <c r="B3" s="97" t="s">
        <v>0</v>
      </c>
      <c r="C3" s="98"/>
      <c r="D3" s="97" t="s">
        <v>1</v>
      </c>
      <c r="E3" s="98"/>
      <c r="F3" s="84"/>
      <c r="G3" s="80"/>
    </row>
    <row r="4" spans="1:7" x14ac:dyDescent="0.2">
      <c r="A4" s="91" t="s">
        <v>158</v>
      </c>
      <c r="B4" s="92" t="s">
        <v>3</v>
      </c>
      <c r="C4" s="81" t="s">
        <v>4</v>
      </c>
      <c r="D4" s="92" t="s">
        <v>3</v>
      </c>
      <c r="E4" s="81" t="s">
        <v>4</v>
      </c>
      <c r="F4" s="82" t="s">
        <v>3</v>
      </c>
      <c r="G4" s="81" t="s">
        <v>4</v>
      </c>
    </row>
    <row r="5" spans="1:7" x14ac:dyDescent="0.2">
      <c r="A5" s="93" t="s">
        <v>2</v>
      </c>
      <c r="B5" s="86"/>
      <c r="C5" s="79"/>
      <c r="D5" s="86"/>
      <c r="E5" s="79"/>
      <c r="F5" s="86"/>
      <c r="G5" s="79"/>
    </row>
    <row r="6" spans="1:7" x14ac:dyDescent="0.2">
      <c r="A6" s="85" t="s">
        <v>5</v>
      </c>
      <c r="B6" s="86">
        <v>0</v>
      </c>
      <c r="C6" s="79">
        <v>10</v>
      </c>
      <c r="D6" s="86">
        <v>0</v>
      </c>
      <c r="E6" s="79">
        <v>8</v>
      </c>
      <c r="F6" s="86">
        <v>0</v>
      </c>
      <c r="G6" s="79">
        <v>15</v>
      </c>
    </row>
    <row r="7" spans="1:7" x14ac:dyDescent="0.2">
      <c r="A7" s="85" t="s">
        <v>6</v>
      </c>
      <c r="B7" s="86">
        <v>10</v>
      </c>
      <c r="C7" s="79">
        <v>18</v>
      </c>
      <c r="D7" s="86">
        <v>0</v>
      </c>
      <c r="E7" s="79">
        <v>8</v>
      </c>
      <c r="F7" s="86">
        <v>0</v>
      </c>
      <c r="G7" s="79">
        <v>15</v>
      </c>
    </row>
    <row r="8" spans="1:7" x14ac:dyDescent="0.2">
      <c r="A8" s="85" t="s">
        <v>7</v>
      </c>
      <c r="B8" s="86">
        <v>18</v>
      </c>
      <c r="C8" s="79">
        <v>33</v>
      </c>
      <c r="D8" s="86">
        <v>0</v>
      </c>
      <c r="E8" s="79">
        <v>8</v>
      </c>
      <c r="F8" s="86">
        <v>0</v>
      </c>
      <c r="G8" s="79">
        <v>15</v>
      </c>
    </row>
    <row r="9" spans="1:7" x14ac:dyDescent="0.2">
      <c r="A9" s="85" t="s">
        <v>8</v>
      </c>
      <c r="B9" s="86">
        <v>33</v>
      </c>
      <c r="C9" s="79">
        <v>50</v>
      </c>
      <c r="D9" s="86">
        <v>0</v>
      </c>
      <c r="E9" s="79">
        <v>8</v>
      </c>
      <c r="F9" s="86">
        <v>0</v>
      </c>
      <c r="G9" s="79">
        <v>15</v>
      </c>
    </row>
    <row r="10" spans="1:7" x14ac:dyDescent="0.2">
      <c r="A10" s="85" t="s">
        <v>9</v>
      </c>
      <c r="B10" s="86"/>
      <c r="C10" s="79"/>
      <c r="D10" s="86">
        <v>0</v>
      </c>
      <c r="E10" s="79">
        <v>8</v>
      </c>
      <c r="F10" s="86">
        <v>0</v>
      </c>
      <c r="G10" s="79">
        <v>15</v>
      </c>
    </row>
    <row r="11" spans="1:7" x14ac:dyDescent="0.2">
      <c r="A11" s="85" t="s">
        <v>10</v>
      </c>
      <c r="B11" s="86">
        <v>0</v>
      </c>
      <c r="C11" s="79">
        <v>50</v>
      </c>
      <c r="D11" s="86">
        <v>0</v>
      </c>
      <c r="E11" s="79">
        <v>8</v>
      </c>
      <c r="F11" s="86">
        <v>0</v>
      </c>
      <c r="G11" s="79">
        <v>15</v>
      </c>
    </row>
    <row r="12" spans="1:7" x14ac:dyDescent="0.2">
      <c r="A12" s="93" t="s">
        <v>11</v>
      </c>
      <c r="B12" s="86"/>
      <c r="C12" s="79"/>
      <c r="D12" s="86"/>
      <c r="E12" s="79"/>
      <c r="F12" s="86"/>
      <c r="G12" s="79"/>
    </row>
    <row r="13" spans="1:7" x14ac:dyDescent="0.2">
      <c r="A13" s="85" t="s">
        <v>12</v>
      </c>
      <c r="B13" s="86"/>
      <c r="C13" s="79"/>
      <c r="D13" s="86">
        <v>8</v>
      </c>
      <c r="E13" s="79">
        <v>12</v>
      </c>
      <c r="F13" s="86">
        <v>0</v>
      </c>
      <c r="G13" s="79">
        <v>15</v>
      </c>
    </row>
    <row r="14" spans="1:7" x14ac:dyDescent="0.2">
      <c r="A14" s="85" t="s">
        <v>13</v>
      </c>
      <c r="B14" s="86"/>
      <c r="C14" s="79"/>
      <c r="D14" s="86">
        <v>12</v>
      </c>
      <c r="E14" s="79">
        <v>18</v>
      </c>
      <c r="F14" s="86">
        <v>0</v>
      </c>
      <c r="G14" s="79">
        <v>15</v>
      </c>
    </row>
    <row r="15" spans="1:7" x14ac:dyDescent="0.2">
      <c r="A15" s="85" t="s">
        <v>14</v>
      </c>
      <c r="B15" s="86"/>
      <c r="C15" s="79"/>
      <c r="D15" s="86">
        <v>18</v>
      </c>
      <c r="E15" s="79">
        <v>25</v>
      </c>
      <c r="F15" s="86">
        <v>0</v>
      </c>
      <c r="G15" s="79">
        <v>15</v>
      </c>
    </row>
    <row r="16" spans="1:7" x14ac:dyDescent="0.2">
      <c r="A16" s="93" t="s">
        <v>15</v>
      </c>
      <c r="B16" s="86"/>
      <c r="C16" s="79"/>
      <c r="D16" s="86"/>
      <c r="E16" s="79"/>
      <c r="F16" s="86"/>
      <c r="G16" s="79"/>
    </row>
    <row r="17" spans="1:7" x14ac:dyDescent="0.2">
      <c r="A17" s="85" t="s">
        <v>16</v>
      </c>
      <c r="B17" s="86"/>
      <c r="C17" s="79"/>
      <c r="D17" s="86">
        <v>25</v>
      </c>
      <c r="E17" s="79">
        <v>35</v>
      </c>
      <c r="F17" s="86">
        <v>0</v>
      </c>
      <c r="G17" s="79">
        <v>15</v>
      </c>
    </row>
    <row r="18" spans="1:7" x14ac:dyDescent="0.2">
      <c r="A18" s="85" t="s">
        <v>17</v>
      </c>
      <c r="B18" s="86"/>
      <c r="C18" s="79"/>
      <c r="D18" s="86">
        <v>35</v>
      </c>
      <c r="E18" s="79">
        <v>50</v>
      </c>
      <c r="F18" s="86">
        <v>0</v>
      </c>
      <c r="G18" s="79">
        <v>15</v>
      </c>
    </row>
    <row r="19" spans="1:7" x14ac:dyDescent="0.2">
      <c r="A19" s="85" t="s">
        <v>18</v>
      </c>
      <c r="B19" s="86"/>
      <c r="C19" s="79"/>
      <c r="D19" s="86">
        <v>50</v>
      </c>
      <c r="E19" s="79">
        <v>100</v>
      </c>
      <c r="F19" s="86">
        <v>0</v>
      </c>
      <c r="G19" s="79">
        <v>15</v>
      </c>
    </row>
    <row r="20" spans="1:7" x14ac:dyDescent="0.2">
      <c r="A20" s="93" t="s">
        <v>19</v>
      </c>
      <c r="B20" s="86"/>
      <c r="C20" s="79"/>
      <c r="D20" s="86"/>
      <c r="E20" s="79"/>
      <c r="F20" s="86"/>
      <c r="G20" s="79"/>
    </row>
    <row r="21" spans="1:7" x14ac:dyDescent="0.2">
      <c r="A21" s="85" t="s">
        <v>20</v>
      </c>
      <c r="B21" s="86">
        <v>50</v>
      </c>
      <c r="C21" s="79">
        <v>85</v>
      </c>
      <c r="D21" s="86">
        <v>0</v>
      </c>
      <c r="E21" s="79">
        <v>8</v>
      </c>
      <c r="F21" s="86">
        <v>0</v>
      </c>
      <c r="G21" s="79">
        <v>15</v>
      </c>
    </row>
    <row r="22" spans="1:7" x14ac:dyDescent="0.2">
      <c r="A22" s="85" t="s">
        <v>21</v>
      </c>
      <c r="B22" s="86">
        <v>85</v>
      </c>
      <c r="C22" s="79">
        <v>100</v>
      </c>
      <c r="D22" s="86">
        <v>0</v>
      </c>
      <c r="E22" s="79">
        <v>8</v>
      </c>
      <c r="F22" s="86">
        <v>0</v>
      </c>
      <c r="G22" s="79">
        <v>15</v>
      </c>
    </row>
    <row r="23" spans="1:7" x14ac:dyDescent="0.2">
      <c r="A23" s="93" t="s">
        <v>22</v>
      </c>
      <c r="B23" s="86"/>
      <c r="C23" s="79"/>
      <c r="D23" s="86"/>
      <c r="E23" s="79"/>
      <c r="F23" s="86"/>
      <c r="G23" s="79"/>
    </row>
    <row r="24" spans="1:7" x14ac:dyDescent="0.2">
      <c r="A24" s="85" t="s">
        <v>23</v>
      </c>
      <c r="B24" s="86"/>
      <c r="C24" s="79"/>
      <c r="D24" s="86">
        <v>0</v>
      </c>
      <c r="E24" s="79">
        <v>8</v>
      </c>
      <c r="F24" s="86">
        <v>15</v>
      </c>
      <c r="G24" s="79">
        <v>25</v>
      </c>
    </row>
    <row r="25" spans="1:7" x14ac:dyDescent="0.2">
      <c r="A25" s="85" t="s">
        <v>24</v>
      </c>
      <c r="B25" s="86"/>
      <c r="C25" s="79"/>
      <c r="D25" s="86">
        <v>0</v>
      </c>
      <c r="E25" s="79">
        <v>8</v>
      </c>
      <c r="F25" s="86">
        <v>25</v>
      </c>
      <c r="G25" s="79">
        <v>100</v>
      </c>
    </row>
    <row r="26" spans="1:7" x14ac:dyDescent="0.2">
      <c r="A26" s="85" t="s">
        <v>25</v>
      </c>
      <c r="B26" s="86"/>
      <c r="C26" s="79"/>
      <c r="D26" s="86">
        <v>8</v>
      </c>
      <c r="E26" s="79">
        <v>100</v>
      </c>
      <c r="F26" s="86">
        <v>16</v>
      </c>
      <c r="G26" s="79">
        <v>35</v>
      </c>
    </row>
    <row r="27" spans="1:7" x14ac:dyDescent="0.2">
      <c r="A27" s="87" t="s">
        <v>26</v>
      </c>
      <c r="B27" s="88"/>
      <c r="C27" s="89"/>
      <c r="D27" s="88">
        <v>8</v>
      </c>
      <c r="E27" s="89">
        <v>100</v>
      </c>
      <c r="F27" s="88">
        <v>35</v>
      </c>
      <c r="G27" s="89">
        <v>70</v>
      </c>
    </row>
    <row r="29" spans="1:7" x14ac:dyDescent="0.2">
      <c r="A29" s="53" t="s">
        <v>121</v>
      </c>
    </row>
    <row r="30" spans="1:7" x14ac:dyDescent="0.2">
      <c r="A30" t="s">
        <v>77</v>
      </c>
      <c r="B30">
        <f>sand</f>
        <v>45.6</v>
      </c>
      <c r="C30" t="s">
        <v>80</v>
      </c>
      <c r="D30">
        <f>SUM(B30:B32)</f>
        <v>100</v>
      </c>
    </row>
    <row r="31" spans="1:7" x14ac:dyDescent="0.2">
      <c r="A31" t="s">
        <v>78</v>
      </c>
      <c r="B31">
        <f>silt</f>
        <v>10</v>
      </c>
    </row>
    <row r="32" spans="1:7" x14ac:dyDescent="0.2">
      <c r="A32" t="s">
        <v>79</v>
      </c>
      <c r="B32">
        <f>clay</f>
        <v>44.4</v>
      </c>
    </row>
    <row r="33" spans="1:5" x14ac:dyDescent="0.2">
      <c r="A33" t="s">
        <v>122</v>
      </c>
      <c r="B33">
        <f>organic_matter</f>
        <v>4.93</v>
      </c>
    </row>
    <row r="34" spans="1:5" x14ac:dyDescent="0.2">
      <c r="A34" t="s">
        <v>165</v>
      </c>
      <c r="B34" t="str">
        <f>IF(Sum&lt;&gt;100,"Make the sum of %sand, %silt and %clay equal to 100","")</f>
        <v/>
      </c>
    </row>
    <row r="36" spans="1:5" x14ac:dyDescent="0.2">
      <c r="A36" s="53" t="s">
        <v>120</v>
      </c>
    </row>
    <row r="37" spans="1:5" x14ac:dyDescent="0.2">
      <c r="A37" t="s">
        <v>19</v>
      </c>
      <c r="B37">
        <f>clay+silt</f>
        <v>54.4</v>
      </c>
    </row>
    <row r="39" spans="1:5" x14ac:dyDescent="0.2">
      <c r="A39" s="53" t="s">
        <v>123</v>
      </c>
    </row>
    <row r="40" spans="1:5" x14ac:dyDescent="0.2">
      <c r="A40" t="s">
        <v>124</v>
      </c>
      <c r="B40" t="s">
        <v>126</v>
      </c>
    </row>
    <row r="41" spans="1:5" x14ac:dyDescent="0.2">
      <c r="A41" t="s">
        <v>125</v>
      </c>
      <c r="B41" t="s">
        <v>127</v>
      </c>
      <c r="C41" t="s">
        <v>129</v>
      </c>
      <c r="D41" t="s">
        <v>130</v>
      </c>
    </row>
    <row r="42" spans="1:5" x14ac:dyDescent="0.2">
      <c r="A42" s="52">
        <f t="shared" ref="A42:A59" si="0">IF(AND(clay&gt;=$D$6,clay&lt;$E$6),0,1)</f>
        <v>1</v>
      </c>
      <c r="B42" s="52">
        <f t="shared" ref="B42:B59" si="1">IF(organic_matter&gt;=15,1,0)</f>
        <v>0</v>
      </c>
      <c r="C42" s="52">
        <f>IF(AND(A42=0,B42=0,Loam&gt;=$B$6,Loam&lt;$C$6),1,0)</f>
        <v>0</v>
      </c>
      <c r="D42" s="52" t="s">
        <v>5</v>
      </c>
      <c r="E42" t="s">
        <v>27</v>
      </c>
    </row>
    <row r="43" spans="1:5" x14ac:dyDescent="0.2">
      <c r="A43" s="52">
        <f t="shared" si="0"/>
        <v>1</v>
      </c>
      <c r="B43" s="52">
        <f t="shared" si="1"/>
        <v>0</v>
      </c>
      <c r="C43" s="52">
        <f>IF(AND(A43=0,B43=0,Loam&gt;=$B$7,Loam&lt;$C$7),1,0)</f>
        <v>0</v>
      </c>
      <c r="D43" s="52" t="s">
        <v>6</v>
      </c>
      <c r="E43" t="s">
        <v>28</v>
      </c>
    </row>
    <row r="44" spans="1:5" x14ac:dyDescent="0.2">
      <c r="A44" s="52">
        <f t="shared" si="0"/>
        <v>1</v>
      </c>
      <c r="B44" s="52">
        <f t="shared" si="1"/>
        <v>0</v>
      </c>
      <c r="C44" s="52">
        <f>IF(AND(A44=0,B44=0,Loam&gt;=$B$8,Loam&lt;$C$8),1,0)</f>
        <v>0</v>
      </c>
      <c r="D44" s="52" t="s">
        <v>7</v>
      </c>
      <c r="E44" t="s">
        <v>29</v>
      </c>
    </row>
    <row r="45" spans="1:5" x14ac:dyDescent="0.2">
      <c r="A45" s="52">
        <f t="shared" si="0"/>
        <v>1</v>
      </c>
      <c r="B45" s="52">
        <f t="shared" si="1"/>
        <v>0</v>
      </c>
      <c r="C45" s="52">
        <f>IF(AND(A45=0,B45=0,Loam&gt;=$B$9,Loam&lt;$C$9),1,0)</f>
        <v>0</v>
      </c>
      <c r="D45" s="52" t="s">
        <v>8</v>
      </c>
      <c r="E45" t="s">
        <v>30</v>
      </c>
    </row>
    <row r="46" spans="1:5" x14ac:dyDescent="0.2">
      <c r="A46" s="52">
        <f t="shared" si="0"/>
        <v>1</v>
      </c>
      <c r="B46" s="52">
        <f t="shared" si="1"/>
        <v>0</v>
      </c>
      <c r="C46" s="52" t="s">
        <v>128</v>
      </c>
      <c r="D46" s="52" t="s">
        <v>9</v>
      </c>
      <c r="E46" t="s">
        <v>31</v>
      </c>
    </row>
    <row r="47" spans="1:5" x14ac:dyDescent="0.2">
      <c r="A47" s="52">
        <f t="shared" si="0"/>
        <v>1</v>
      </c>
      <c r="B47" s="52">
        <f t="shared" si="1"/>
        <v>0</v>
      </c>
      <c r="C47" s="52" t="s">
        <v>128</v>
      </c>
      <c r="D47" s="52" t="s">
        <v>10</v>
      </c>
      <c r="E47" t="s">
        <v>32</v>
      </c>
    </row>
    <row r="48" spans="1:5" x14ac:dyDescent="0.2">
      <c r="A48" s="52">
        <f t="shared" si="0"/>
        <v>1</v>
      </c>
      <c r="B48" s="52">
        <f t="shared" si="1"/>
        <v>0</v>
      </c>
      <c r="C48" s="52">
        <f>IF(AND(A48=1,B48=0,clay&gt;=$D$13,clay&lt;$E$13),1,0)</f>
        <v>0</v>
      </c>
      <c r="D48" s="52" t="s">
        <v>12</v>
      </c>
      <c r="E48" t="s">
        <v>33</v>
      </c>
    </row>
    <row r="49" spans="1:5" x14ac:dyDescent="0.2">
      <c r="A49" s="52">
        <f t="shared" si="0"/>
        <v>1</v>
      </c>
      <c r="B49" s="52">
        <f t="shared" si="1"/>
        <v>0</v>
      </c>
      <c r="C49" s="52">
        <f>IF(AND(A49=1,B49=0,clay&gt;=$D$14,clay&lt;$E$14),1,0)</f>
        <v>0</v>
      </c>
      <c r="D49" s="52" t="s">
        <v>13</v>
      </c>
      <c r="E49" t="s">
        <v>34</v>
      </c>
    </row>
    <row r="50" spans="1:5" x14ac:dyDescent="0.2">
      <c r="A50" s="52">
        <f t="shared" si="0"/>
        <v>1</v>
      </c>
      <c r="B50" s="52">
        <f t="shared" si="1"/>
        <v>0</v>
      </c>
      <c r="C50" s="52">
        <f>IF(AND(A50=1,B50=0,clay&gt;=$D$15,clay&lt;$E$15),1,0)</f>
        <v>0</v>
      </c>
      <c r="D50" s="52" t="s">
        <v>14</v>
      </c>
      <c r="E50" t="s">
        <v>35</v>
      </c>
    </row>
    <row r="51" spans="1:5" x14ac:dyDescent="0.2">
      <c r="A51" s="52">
        <f t="shared" si="0"/>
        <v>1</v>
      </c>
      <c r="B51" s="52">
        <f t="shared" si="1"/>
        <v>0</v>
      </c>
      <c r="C51" s="52">
        <f>IF(AND(A51=1,B51=0,clay&gt;=$D$17,clay&lt;$E$17),1,0)</f>
        <v>0</v>
      </c>
      <c r="D51" s="52" t="s">
        <v>16</v>
      </c>
      <c r="E51" t="s">
        <v>36</v>
      </c>
    </row>
    <row r="52" spans="1:5" x14ac:dyDescent="0.2">
      <c r="A52" s="52">
        <f t="shared" si="0"/>
        <v>1</v>
      </c>
      <c r="B52" s="52">
        <f t="shared" si="1"/>
        <v>0</v>
      </c>
      <c r="C52" s="52">
        <f>IF(AND(A52=1,B52=0,clay&gt;=$D$18,clay&lt;$E$18),1,0)</f>
        <v>1</v>
      </c>
      <c r="D52" s="52" t="s">
        <v>17</v>
      </c>
      <c r="E52" t="s">
        <v>37</v>
      </c>
    </row>
    <row r="53" spans="1:5" x14ac:dyDescent="0.2">
      <c r="A53" s="52">
        <f t="shared" si="0"/>
        <v>1</v>
      </c>
      <c r="B53" s="52">
        <f t="shared" si="1"/>
        <v>0</v>
      </c>
      <c r="C53" s="52">
        <f>IF(AND(A53=1,B53=0,clay&gt;=$D$19,clay&lt;=$E$19),1,0)</f>
        <v>0</v>
      </c>
      <c r="D53" s="52" t="s">
        <v>18</v>
      </c>
      <c r="E53" t="s">
        <v>38</v>
      </c>
    </row>
    <row r="54" spans="1:5" x14ac:dyDescent="0.2">
      <c r="A54" s="52">
        <f t="shared" si="0"/>
        <v>1</v>
      </c>
      <c r="B54" s="52">
        <f t="shared" si="1"/>
        <v>0</v>
      </c>
      <c r="C54" s="52">
        <f>IF(AND(A54=0,B54=0,Loam&gt;=$B$21,Loam&lt;$C$21),1,0)</f>
        <v>0</v>
      </c>
      <c r="D54" s="52" t="s">
        <v>20</v>
      </c>
      <c r="E54" t="s">
        <v>39</v>
      </c>
    </row>
    <row r="55" spans="1:5" x14ac:dyDescent="0.2">
      <c r="A55" s="52">
        <f t="shared" si="0"/>
        <v>1</v>
      </c>
      <c r="B55" s="52">
        <f t="shared" si="1"/>
        <v>0</v>
      </c>
      <c r="C55" s="52">
        <f>IF(AND(A55=0,B55=0,Loam&gt;=$B$22,Loam&lt;=$C$22),1,0)</f>
        <v>0</v>
      </c>
      <c r="D55" s="52" t="s">
        <v>21</v>
      </c>
      <c r="E55" t="s">
        <v>40</v>
      </c>
    </row>
    <row r="56" spans="1:5" x14ac:dyDescent="0.2">
      <c r="A56" s="52">
        <f t="shared" si="0"/>
        <v>1</v>
      </c>
      <c r="B56" s="52">
        <f t="shared" si="1"/>
        <v>0</v>
      </c>
      <c r="C56" s="52">
        <f>IF(AND(A56=0,B56=1,organic_matter&gt;=$F$24,organic_matter&lt;$G$24),1,0)</f>
        <v>0</v>
      </c>
      <c r="D56" s="52" t="s">
        <v>23</v>
      </c>
      <c r="E56" t="s">
        <v>41</v>
      </c>
    </row>
    <row r="57" spans="1:5" x14ac:dyDescent="0.2">
      <c r="A57" s="52">
        <f t="shared" si="0"/>
        <v>1</v>
      </c>
      <c r="B57" s="52">
        <f t="shared" si="1"/>
        <v>0</v>
      </c>
      <c r="C57" s="52">
        <f>IF(AND(A57=0,B57=1,organic_matter&gt;=$F$25,organic_matter&lt;=$G$25),1,0)</f>
        <v>0</v>
      </c>
      <c r="D57" s="52" t="s">
        <v>24</v>
      </c>
      <c r="E57" t="s">
        <v>42</v>
      </c>
    </row>
    <row r="58" spans="1:5" x14ac:dyDescent="0.2">
      <c r="A58" s="52">
        <f t="shared" si="0"/>
        <v>1</v>
      </c>
      <c r="B58" s="52">
        <f t="shared" si="1"/>
        <v>0</v>
      </c>
      <c r="C58" s="52">
        <f>IF(AND(A58=1,B58=1,organic_matter&gt;=$F$26,organic_matter&lt;$G$26),1,0)</f>
        <v>0</v>
      </c>
      <c r="D58" s="52" t="s">
        <v>25</v>
      </c>
      <c r="E58" t="s">
        <v>43</v>
      </c>
    </row>
    <row r="59" spans="1:5" x14ac:dyDescent="0.2">
      <c r="A59" s="52">
        <f t="shared" si="0"/>
        <v>1</v>
      </c>
      <c r="B59" s="52">
        <f t="shared" si="1"/>
        <v>0</v>
      </c>
      <c r="C59" s="52">
        <f>IF(AND(A59=1,B59=1,organic_matter&gt;=$F$27,organic_matter&lt;=$G$27),1,0)</f>
        <v>0</v>
      </c>
      <c r="D59" s="52" t="s">
        <v>26</v>
      </c>
      <c r="E59" t="s">
        <v>44</v>
      </c>
    </row>
    <row r="61" spans="1:5" x14ac:dyDescent="0.2">
      <c r="A61" s="53" t="s">
        <v>45</v>
      </c>
    </row>
    <row r="62" spans="1:5" x14ac:dyDescent="0.2">
      <c r="A62" t="s">
        <v>130</v>
      </c>
      <c r="B62" t="str">
        <f>IF(Sum&lt;&gt;100,"Error",VLOOKUP(1,C42:E59,2,FALSE))</f>
        <v>B11</v>
      </c>
      <c r="C62" t="str">
        <f>IF(Sum&lt;&gt;100,SumError,VLOOKUP(1,C42:E59,3,FALSE))</f>
        <v>matig zware klei</v>
      </c>
    </row>
  </sheetData>
  <sheetProtection password="DE86" sheet="1" objects="1" scenarios="1"/>
  <mergeCells count="5">
    <mergeCell ref="B2:C2"/>
    <mergeCell ref="D2:E2"/>
    <mergeCell ref="F2:G2"/>
    <mergeCell ref="B3:C3"/>
    <mergeCell ref="D3:E3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76"/>
  <sheetViews>
    <sheetView workbookViewId="0"/>
  </sheetViews>
  <sheetFormatPr defaultRowHeight="12.75" x14ac:dyDescent="0.2"/>
  <cols>
    <col min="1" max="1" width="21.28515625" style="56" customWidth="1"/>
    <col min="2" max="2" width="9.140625" style="56"/>
    <col min="3" max="3" width="10.85546875" style="56" customWidth="1"/>
    <col min="4" max="16384" width="9.140625" style="56"/>
  </cols>
  <sheetData>
    <row r="1" spans="1:10" x14ac:dyDescent="0.2">
      <c r="A1" s="56" t="s">
        <v>115</v>
      </c>
      <c r="B1" s="57"/>
    </row>
    <row r="2" spans="1:10" x14ac:dyDescent="0.2">
      <c r="A2" s="56" t="s">
        <v>116</v>
      </c>
      <c r="B2" s="57"/>
    </row>
    <row r="3" spans="1:10" ht="15.75" x14ac:dyDescent="0.3">
      <c r="A3" s="58" t="s">
        <v>46</v>
      </c>
      <c r="B3" s="58" t="s">
        <v>75</v>
      </c>
      <c r="C3" s="59" t="s">
        <v>81</v>
      </c>
      <c r="D3" s="60" t="s">
        <v>76</v>
      </c>
      <c r="E3" s="60" t="s">
        <v>82</v>
      </c>
      <c r="F3" s="60" t="s">
        <v>83</v>
      </c>
      <c r="G3" s="60" t="s">
        <v>84</v>
      </c>
      <c r="H3" s="60" t="s">
        <v>85</v>
      </c>
      <c r="I3" s="60" t="s">
        <v>86</v>
      </c>
      <c r="J3" s="60" t="s">
        <v>87</v>
      </c>
    </row>
    <row r="4" spans="1:10" x14ac:dyDescent="0.2">
      <c r="A4" s="57" t="s">
        <v>5</v>
      </c>
      <c r="B4" s="61">
        <f t="shared" ref="B4:B21" si="0">pF_input</f>
        <v>1</v>
      </c>
      <c r="C4" s="62">
        <f>-(10^$B4)</f>
        <v>-10</v>
      </c>
      <c r="D4" s="63">
        <f t="shared" ref="D4:D21" si="1">$E4+(($F4-$E4)/((1+(ABS($H4*$C4))^$J4)^(1-1/$J4)))</f>
        <v>0.41733362293972137</v>
      </c>
      <c r="E4" s="56">
        <v>0.02</v>
      </c>
      <c r="F4" s="56">
        <v>0.43</v>
      </c>
      <c r="G4" s="56">
        <v>23.41</v>
      </c>
      <c r="H4" s="56">
        <v>2.3400000000000001E-2</v>
      </c>
      <c r="I4" s="56">
        <v>0</v>
      </c>
      <c r="J4" s="56">
        <v>1.8009999999999999</v>
      </c>
    </row>
    <row r="5" spans="1:10" x14ac:dyDescent="0.2">
      <c r="A5" s="57" t="s">
        <v>6</v>
      </c>
      <c r="B5" s="61">
        <f t="shared" si="0"/>
        <v>1</v>
      </c>
      <c r="C5" s="62">
        <f t="shared" ref="C5:C21" si="2">-(10^$B5)</f>
        <v>-10</v>
      </c>
      <c r="D5" s="63">
        <f t="shared" si="1"/>
        <v>0.40237023899117513</v>
      </c>
      <c r="E5" s="56">
        <v>0.02</v>
      </c>
      <c r="F5" s="56">
        <v>0.42</v>
      </c>
      <c r="G5" s="56">
        <v>12.52</v>
      </c>
      <c r="H5" s="56">
        <v>2.76E-2</v>
      </c>
      <c r="I5" s="56">
        <v>-1.06</v>
      </c>
      <c r="J5" s="56">
        <v>1.4910000000000001</v>
      </c>
    </row>
    <row r="6" spans="1:10" x14ac:dyDescent="0.2">
      <c r="A6" s="57" t="s">
        <v>7</v>
      </c>
      <c r="B6" s="61">
        <f t="shared" si="0"/>
        <v>1</v>
      </c>
      <c r="C6" s="62">
        <f t="shared" si="2"/>
        <v>-10</v>
      </c>
      <c r="D6" s="63">
        <f t="shared" si="1"/>
        <v>0.45242380481609157</v>
      </c>
      <c r="E6" s="56">
        <v>0.02</v>
      </c>
      <c r="F6" s="56">
        <v>0.46</v>
      </c>
      <c r="G6" s="56">
        <v>15.42</v>
      </c>
      <c r="H6" s="56">
        <v>1.44E-2</v>
      </c>
      <c r="I6" s="56">
        <v>-0.215</v>
      </c>
      <c r="J6" s="56">
        <v>1.534</v>
      </c>
    </row>
    <row r="7" spans="1:10" x14ac:dyDescent="0.2">
      <c r="A7" s="57" t="s">
        <v>8</v>
      </c>
      <c r="B7" s="61">
        <f t="shared" si="0"/>
        <v>1</v>
      </c>
      <c r="C7" s="62">
        <f t="shared" si="2"/>
        <v>-10</v>
      </c>
      <c r="D7" s="63">
        <f t="shared" si="1"/>
        <v>0.45109511313753103</v>
      </c>
      <c r="E7" s="56">
        <v>0.02</v>
      </c>
      <c r="F7" s="56">
        <v>0.46</v>
      </c>
      <c r="G7" s="56">
        <v>29.22</v>
      </c>
      <c r="H7" s="56">
        <v>1.5599999999999999E-2</v>
      </c>
      <c r="I7" s="56">
        <v>0</v>
      </c>
      <c r="J7" s="56">
        <v>1.4059999999999999</v>
      </c>
    </row>
    <row r="8" spans="1:10" x14ac:dyDescent="0.2">
      <c r="A8" s="57" t="s">
        <v>9</v>
      </c>
      <c r="B8" s="61">
        <f t="shared" si="0"/>
        <v>1</v>
      </c>
      <c r="C8" s="62">
        <f t="shared" si="2"/>
        <v>-10</v>
      </c>
      <c r="D8" s="63">
        <f t="shared" si="1"/>
        <v>0.32854071425557202</v>
      </c>
      <c r="E8" s="56">
        <v>0.01</v>
      </c>
      <c r="F8" s="56">
        <v>0.36</v>
      </c>
      <c r="G8" s="56">
        <v>52.91</v>
      </c>
      <c r="H8" s="56">
        <v>4.5199999999999997E-2</v>
      </c>
      <c r="I8" s="56">
        <v>-0.35899999999999999</v>
      </c>
      <c r="J8" s="56">
        <v>1.9330000000000001</v>
      </c>
    </row>
    <row r="9" spans="1:10" x14ac:dyDescent="0.2">
      <c r="A9" s="57" t="s">
        <v>10</v>
      </c>
      <c r="B9" s="61">
        <f t="shared" si="0"/>
        <v>1</v>
      </c>
      <c r="C9" s="62">
        <f t="shared" si="2"/>
        <v>-10</v>
      </c>
      <c r="D9" s="63">
        <f t="shared" si="1"/>
        <v>0.36988099784422024</v>
      </c>
      <c r="E9" s="56">
        <v>0.01</v>
      </c>
      <c r="F9" s="56">
        <v>0.38</v>
      </c>
      <c r="G9" s="56">
        <v>100.69</v>
      </c>
      <c r="H9" s="56">
        <v>2.2200000000000001E-2</v>
      </c>
      <c r="I9" s="56">
        <v>-1.7470000000000001</v>
      </c>
      <c r="J9" s="56">
        <v>1.238</v>
      </c>
    </row>
    <row r="10" spans="1:10" x14ac:dyDescent="0.2">
      <c r="A10" s="57" t="s">
        <v>12</v>
      </c>
      <c r="B10" s="61">
        <f t="shared" si="0"/>
        <v>1</v>
      </c>
      <c r="C10" s="62">
        <f t="shared" si="2"/>
        <v>-10</v>
      </c>
      <c r="D10" s="63">
        <f t="shared" si="1"/>
        <v>0.39042743387634848</v>
      </c>
      <c r="E10" s="56">
        <v>0</v>
      </c>
      <c r="F10" s="56">
        <v>0.4</v>
      </c>
      <c r="G10" s="56">
        <v>14.07</v>
      </c>
      <c r="H10" s="56">
        <v>1.9400000000000001E-2</v>
      </c>
      <c r="I10" s="56">
        <v>-0.80200000000000005</v>
      </c>
      <c r="J10" s="56">
        <v>1.25</v>
      </c>
    </row>
    <row r="11" spans="1:10" x14ac:dyDescent="0.2">
      <c r="A11" s="57" t="s">
        <v>13</v>
      </c>
      <c r="B11" s="61">
        <f t="shared" si="0"/>
        <v>1</v>
      </c>
      <c r="C11" s="62">
        <f t="shared" si="2"/>
        <v>-10</v>
      </c>
      <c r="D11" s="63">
        <f t="shared" si="1"/>
        <v>0.42536680569910146</v>
      </c>
      <c r="E11" s="56">
        <v>0.01</v>
      </c>
      <c r="F11" s="56">
        <v>0.43</v>
      </c>
      <c r="G11" s="56">
        <v>2.36</v>
      </c>
      <c r="H11" s="56">
        <v>9.9000000000000008E-3</v>
      </c>
      <c r="I11" s="56">
        <v>-2.2440000000000002</v>
      </c>
      <c r="J11" s="56">
        <v>1.288</v>
      </c>
    </row>
    <row r="12" spans="1:10" x14ac:dyDescent="0.2">
      <c r="A12" s="57" t="s">
        <v>14</v>
      </c>
      <c r="B12" s="61">
        <f t="shared" si="0"/>
        <v>1</v>
      </c>
      <c r="C12" s="62">
        <f t="shared" si="2"/>
        <v>-10</v>
      </c>
      <c r="D12" s="63">
        <f t="shared" si="1"/>
        <v>0.42722604536547459</v>
      </c>
      <c r="E12" s="56">
        <v>0</v>
      </c>
      <c r="F12" s="56">
        <v>0.43</v>
      </c>
      <c r="G12" s="56">
        <v>1.54</v>
      </c>
      <c r="H12" s="56">
        <v>6.4999999999999997E-3</v>
      </c>
      <c r="I12" s="56">
        <v>-2.161</v>
      </c>
      <c r="J12" s="56">
        <v>1.325</v>
      </c>
    </row>
    <row r="13" spans="1:10" x14ac:dyDescent="0.2">
      <c r="A13" s="57" t="s">
        <v>16</v>
      </c>
      <c r="B13" s="61">
        <f t="shared" si="0"/>
        <v>1</v>
      </c>
      <c r="C13" s="62">
        <f t="shared" si="2"/>
        <v>-10</v>
      </c>
      <c r="D13" s="63">
        <f t="shared" si="1"/>
        <v>0.42743467044720118</v>
      </c>
      <c r="E13" s="56">
        <v>0.01</v>
      </c>
      <c r="F13" s="56">
        <v>0.43</v>
      </c>
      <c r="G13" s="56">
        <v>0.7</v>
      </c>
      <c r="H13" s="56">
        <v>6.4000000000000003E-3</v>
      </c>
      <c r="I13" s="56">
        <v>-3.8839999999999999</v>
      </c>
      <c r="J13" s="56">
        <v>1.21</v>
      </c>
    </row>
    <row r="14" spans="1:10" x14ac:dyDescent="0.2">
      <c r="A14" s="57" t="s">
        <v>17</v>
      </c>
      <c r="B14" s="61">
        <f t="shared" si="0"/>
        <v>1</v>
      </c>
      <c r="C14" s="62">
        <f t="shared" si="2"/>
        <v>-10</v>
      </c>
      <c r="D14" s="63">
        <f t="shared" si="1"/>
        <v>0.58144709143832307</v>
      </c>
      <c r="E14" s="56">
        <v>0.01</v>
      </c>
      <c r="F14" s="56">
        <v>0.59</v>
      </c>
      <c r="G14" s="56">
        <v>4.53</v>
      </c>
      <c r="H14" s="56">
        <v>1.95E-2</v>
      </c>
      <c r="I14" s="56">
        <v>-5.9009999999999998</v>
      </c>
      <c r="J14" s="56">
        <v>1.109</v>
      </c>
    </row>
    <row r="15" spans="1:10" x14ac:dyDescent="0.2">
      <c r="A15" s="57" t="s">
        <v>18</v>
      </c>
      <c r="B15" s="61">
        <f t="shared" si="0"/>
        <v>1</v>
      </c>
      <c r="C15" s="62">
        <f t="shared" si="2"/>
        <v>-10</v>
      </c>
      <c r="D15" s="63">
        <f t="shared" si="1"/>
        <v>0.53143021660117495</v>
      </c>
      <c r="E15" s="56">
        <v>0.01</v>
      </c>
      <c r="F15" s="56">
        <v>0.54</v>
      </c>
      <c r="G15" s="56">
        <v>5.37</v>
      </c>
      <c r="H15" s="56">
        <v>2.3900000000000001E-2</v>
      </c>
      <c r="I15" s="56">
        <v>-5.681</v>
      </c>
      <c r="J15" s="56">
        <v>1.0940000000000001</v>
      </c>
    </row>
    <row r="16" spans="1:10" x14ac:dyDescent="0.2">
      <c r="A16" s="57" t="s">
        <v>20</v>
      </c>
      <c r="B16" s="61">
        <f t="shared" si="0"/>
        <v>1</v>
      </c>
      <c r="C16" s="62">
        <f t="shared" si="2"/>
        <v>-10</v>
      </c>
      <c r="D16" s="63">
        <f t="shared" si="1"/>
        <v>0.41652822279528107</v>
      </c>
      <c r="E16" s="56">
        <v>0.01</v>
      </c>
      <c r="F16" s="56">
        <v>0.42</v>
      </c>
      <c r="G16" s="56">
        <v>12.98</v>
      </c>
      <c r="H16" s="56">
        <v>8.3999999999999995E-3</v>
      </c>
      <c r="I16" s="56">
        <v>-1.4970000000000001</v>
      </c>
      <c r="J16" s="56">
        <v>1.4410000000000001</v>
      </c>
    </row>
    <row r="17" spans="1:10" x14ac:dyDescent="0.2">
      <c r="A17" s="57" t="s">
        <v>21</v>
      </c>
      <c r="B17" s="61">
        <f t="shared" si="0"/>
        <v>1</v>
      </c>
      <c r="C17" s="62">
        <f t="shared" si="2"/>
        <v>-10</v>
      </c>
      <c r="D17" s="63">
        <f t="shared" si="1"/>
        <v>0.41805289839839049</v>
      </c>
      <c r="E17" s="56">
        <v>0.01</v>
      </c>
      <c r="F17" s="56">
        <v>0.42</v>
      </c>
      <c r="G17" s="56">
        <v>0.8</v>
      </c>
      <c r="H17" s="56">
        <v>5.1000000000000004E-3</v>
      </c>
      <c r="I17" s="56">
        <v>0</v>
      </c>
      <c r="J17" s="56">
        <v>1.3049999999999999</v>
      </c>
    </row>
    <row r="18" spans="1:10" x14ac:dyDescent="0.2">
      <c r="A18" s="57" t="s">
        <v>23</v>
      </c>
      <c r="B18" s="61">
        <f t="shared" si="0"/>
        <v>1</v>
      </c>
      <c r="C18" s="62">
        <f t="shared" si="2"/>
        <v>-10</v>
      </c>
      <c r="D18" s="63">
        <f t="shared" si="1"/>
        <v>0.51313608938100586</v>
      </c>
      <c r="E18" s="56">
        <v>0.01</v>
      </c>
      <c r="F18" s="56">
        <v>0.53</v>
      </c>
      <c r="G18" s="56">
        <v>81.28</v>
      </c>
      <c r="H18" s="56">
        <v>2.4199999999999999E-2</v>
      </c>
      <c r="I18" s="56">
        <v>-1.476</v>
      </c>
      <c r="J18" s="56">
        <v>1.28</v>
      </c>
    </row>
    <row r="19" spans="1:10" x14ac:dyDescent="0.2">
      <c r="A19" s="57" t="s">
        <v>24</v>
      </c>
      <c r="B19" s="61">
        <f t="shared" si="0"/>
        <v>1</v>
      </c>
      <c r="C19" s="62">
        <f t="shared" si="2"/>
        <v>-10</v>
      </c>
      <c r="D19" s="63">
        <f t="shared" si="1"/>
        <v>0.78220140382171588</v>
      </c>
      <c r="E19" s="56">
        <v>0.01</v>
      </c>
      <c r="F19" s="56">
        <v>0.8</v>
      </c>
      <c r="G19" s="56">
        <v>6.79</v>
      </c>
      <c r="H19" s="56">
        <v>1.7600000000000001E-2</v>
      </c>
      <c r="I19" s="56">
        <v>-2.2589999999999999</v>
      </c>
      <c r="J19" s="56">
        <v>1.2929999999999999</v>
      </c>
    </row>
    <row r="20" spans="1:10" x14ac:dyDescent="0.2">
      <c r="A20" s="57" t="s">
        <v>25</v>
      </c>
      <c r="B20" s="61">
        <f t="shared" si="0"/>
        <v>1</v>
      </c>
      <c r="C20" s="62">
        <f t="shared" si="2"/>
        <v>-10</v>
      </c>
      <c r="D20" s="63">
        <f t="shared" si="1"/>
        <v>0.70838634275849111</v>
      </c>
      <c r="E20" s="56">
        <v>0</v>
      </c>
      <c r="F20" s="56">
        <v>0.72</v>
      </c>
      <c r="G20" s="56">
        <v>4.46</v>
      </c>
      <c r="H20" s="56">
        <v>1.7999999999999999E-2</v>
      </c>
      <c r="I20" s="56">
        <v>-0.35</v>
      </c>
      <c r="J20" s="56">
        <v>1.1399999999999999</v>
      </c>
    </row>
    <row r="21" spans="1:10" x14ac:dyDescent="0.2">
      <c r="A21" s="57" t="s">
        <v>26</v>
      </c>
      <c r="B21" s="61">
        <f t="shared" si="0"/>
        <v>1</v>
      </c>
      <c r="C21" s="62">
        <f t="shared" si="2"/>
        <v>-10</v>
      </c>
      <c r="D21" s="63">
        <f t="shared" si="1"/>
        <v>0.75547443444590734</v>
      </c>
      <c r="E21" s="56">
        <v>0</v>
      </c>
      <c r="F21" s="56">
        <v>0.77</v>
      </c>
      <c r="G21" s="56">
        <v>6.67</v>
      </c>
      <c r="H21" s="56">
        <v>1.9699999999999999E-2</v>
      </c>
      <c r="I21" s="56">
        <v>-1.845</v>
      </c>
      <c r="J21" s="56">
        <v>1.1539999999999999</v>
      </c>
    </row>
    <row r="24" spans="1:10" x14ac:dyDescent="0.2">
      <c r="A24" s="56" t="s">
        <v>88</v>
      </c>
      <c r="B24" s="57"/>
    </row>
    <row r="25" spans="1:10" ht="15.75" x14ac:dyDescent="0.3">
      <c r="A25" s="64" t="s">
        <v>46</v>
      </c>
      <c r="B25" s="65" t="s">
        <v>89</v>
      </c>
      <c r="C25" s="65" t="s">
        <v>90</v>
      </c>
      <c r="D25" s="66" t="s">
        <v>91</v>
      </c>
      <c r="E25" s="67" t="s">
        <v>92</v>
      </c>
      <c r="F25" s="66" t="s">
        <v>93</v>
      </c>
    </row>
    <row r="26" spans="1:10" x14ac:dyDescent="0.2">
      <c r="A26" s="57" t="s">
        <v>5</v>
      </c>
      <c r="B26" s="57">
        <f t="shared" ref="B26:B43" si="3">θact</f>
        <v>0.20229999999999998</v>
      </c>
      <c r="C26" s="68">
        <f t="shared" ref="C26:C43" si="4">((($F4-$E4)/($B26-$E4))^($J4/($J4-1))-1)^(1/$J4)/ABS($H4)</f>
        <v>106.58979498573416</v>
      </c>
      <c r="D26" s="62">
        <f>LOG(C26)</f>
        <v>2.0277156268900112</v>
      </c>
      <c r="E26" s="69">
        <f t="shared" ref="E26:E43" si="5">_0.75θfc_act</f>
        <v>0.38250000000000001</v>
      </c>
      <c r="F26" s="69">
        <f t="shared" ref="F26:F43" si="6">LOG(((($F4-$E4)/($E26-$E4))^($J4/($J4-1))-1)^(1/$J4)/ABS($H4))</f>
        <v>1.3552479304206293</v>
      </c>
    </row>
    <row r="27" spans="1:10" x14ac:dyDescent="0.2">
      <c r="A27" s="57" t="s">
        <v>6</v>
      </c>
      <c r="B27" s="57">
        <f t="shared" si="3"/>
        <v>0.20229999999999998</v>
      </c>
      <c r="C27" s="68">
        <f t="shared" si="4"/>
        <v>168.28493506366482</v>
      </c>
      <c r="D27" s="62">
        <f t="shared" ref="D27:D43" si="7">LOG(C27)</f>
        <v>2.2260452394959618</v>
      </c>
      <c r="E27" s="69">
        <f t="shared" si="5"/>
        <v>0.38250000000000001</v>
      </c>
      <c r="F27" s="69">
        <f t="shared" si="6"/>
        <v>1.2519785665306702</v>
      </c>
    </row>
    <row r="28" spans="1:10" x14ac:dyDescent="0.2">
      <c r="A28" s="57" t="s">
        <v>7</v>
      </c>
      <c r="B28" s="57">
        <f t="shared" si="3"/>
        <v>0.20229999999999998</v>
      </c>
      <c r="C28" s="68">
        <f t="shared" si="4"/>
        <v>342.58431650783052</v>
      </c>
      <c r="D28" s="62">
        <f t="shared" si="7"/>
        <v>2.5347674771058104</v>
      </c>
      <c r="E28" s="69">
        <f t="shared" si="5"/>
        <v>0.38250000000000001</v>
      </c>
      <c r="F28" s="69">
        <f t="shared" si="6"/>
        <v>1.7581805983359025</v>
      </c>
    </row>
    <row r="29" spans="1:10" x14ac:dyDescent="0.2">
      <c r="A29" s="57" t="s">
        <v>8</v>
      </c>
      <c r="B29" s="57">
        <f t="shared" si="3"/>
        <v>0.20229999999999998</v>
      </c>
      <c r="C29" s="68">
        <f t="shared" si="4"/>
        <v>542.54687320788923</v>
      </c>
      <c r="D29" s="62">
        <f t="shared" si="7"/>
        <v>2.734437264909785</v>
      </c>
      <c r="E29" s="69">
        <f t="shared" si="5"/>
        <v>0.38250000000000001</v>
      </c>
      <c r="F29" s="69">
        <f t="shared" si="6"/>
        <v>1.7930180634875632</v>
      </c>
    </row>
    <row r="30" spans="1:10" x14ac:dyDescent="0.2">
      <c r="A30" s="57" t="s">
        <v>9</v>
      </c>
      <c r="B30" s="57">
        <f t="shared" si="3"/>
        <v>0.20229999999999998</v>
      </c>
      <c r="C30" s="68">
        <f t="shared" si="4"/>
        <v>35.232482417945789</v>
      </c>
      <c r="D30" s="62">
        <f t="shared" si="7"/>
        <v>1.5469432438748054</v>
      </c>
      <c r="E30" s="69">
        <f t="shared" si="5"/>
        <v>0.38250000000000001</v>
      </c>
      <c r="F30" s="69" t="e">
        <f t="shared" si="6"/>
        <v>#NUM!</v>
      </c>
    </row>
    <row r="31" spans="1:10" x14ac:dyDescent="0.2">
      <c r="A31" s="57" t="s">
        <v>10</v>
      </c>
      <c r="B31" s="57">
        <f t="shared" si="3"/>
        <v>0.20229999999999998</v>
      </c>
      <c r="C31" s="68">
        <f t="shared" si="4"/>
        <v>685.49248718254501</v>
      </c>
      <c r="D31" s="62">
        <f t="shared" si="7"/>
        <v>2.8360026993982612</v>
      </c>
      <c r="E31" s="69">
        <f t="shared" si="5"/>
        <v>0.38250000000000001</v>
      </c>
      <c r="F31" s="69" t="e">
        <f t="shared" si="6"/>
        <v>#NUM!</v>
      </c>
    </row>
    <row r="32" spans="1:10" x14ac:dyDescent="0.2">
      <c r="A32" s="57" t="s">
        <v>12</v>
      </c>
      <c r="B32" s="57">
        <f t="shared" si="3"/>
        <v>0.20229999999999998</v>
      </c>
      <c r="C32" s="68">
        <f t="shared" si="4"/>
        <v>766.94464538919271</v>
      </c>
      <c r="D32" s="62">
        <f t="shared" si="7"/>
        <v>2.8847640196601185</v>
      </c>
      <c r="E32" s="69">
        <f t="shared" si="5"/>
        <v>0.38250000000000001</v>
      </c>
      <c r="F32" s="69">
        <f t="shared" si="6"/>
        <v>1.2314802654803778</v>
      </c>
    </row>
    <row r="33" spans="1:9" x14ac:dyDescent="0.2">
      <c r="A33" s="57" t="s">
        <v>13</v>
      </c>
      <c r="B33" s="57">
        <f t="shared" si="3"/>
        <v>0.20229999999999998</v>
      </c>
      <c r="C33" s="68">
        <f t="shared" si="4"/>
        <v>1485.8678831341008</v>
      </c>
      <c r="D33" s="62">
        <f t="shared" si="7"/>
        <v>3.1719801955775617</v>
      </c>
      <c r="E33" s="69">
        <f t="shared" si="5"/>
        <v>0.38250000000000001</v>
      </c>
      <c r="F33" s="69">
        <f t="shared" si="6"/>
        <v>1.8890870408213702</v>
      </c>
    </row>
    <row r="34" spans="1:9" x14ac:dyDescent="0.2">
      <c r="A34" s="57" t="s">
        <v>14</v>
      </c>
      <c r="B34" s="57">
        <f t="shared" si="3"/>
        <v>0.20229999999999998</v>
      </c>
      <c r="C34" s="68">
        <f t="shared" si="4"/>
        <v>1510.7078976286409</v>
      </c>
      <c r="D34" s="62">
        <f t="shared" si="7"/>
        <v>3.1791804996060167</v>
      </c>
      <c r="E34" s="69">
        <f t="shared" si="5"/>
        <v>0.38250000000000001</v>
      </c>
      <c r="F34" s="69">
        <f t="shared" si="6"/>
        <v>2.0259326975338054</v>
      </c>
    </row>
    <row r="35" spans="1:9" x14ac:dyDescent="0.2">
      <c r="A35" s="57" t="s">
        <v>16</v>
      </c>
      <c r="B35" s="57">
        <f t="shared" si="3"/>
        <v>0.20229999999999998</v>
      </c>
      <c r="C35" s="68">
        <f t="shared" si="4"/>
        <v>6388.3206848378804</v>
      </c>
      <c r="D35" s="62">
        <f t="shared" si="7"/>
        <v>3.805386708994285</v>
      </c>
      <c r="E35" s="69">
        <f t="shared" si="5"/>
        <v>0.38250000000000001</v>
      </c>
      <c r="F35" s="69">
        <f t="shared" si="6"/>
        <v>2.1926584961279132</v>
      </c>
    </row>
    <row r="36" spans="1:9" x14ac:dyDescent="0.2">
      <c r="A36" s="57" t="s">
        <v>17</v>
      </c>
      <c r="B36" s="57">
        <f t="shared" si="3"/>
        <v>0.20229999999999998</v>
      </c>
      <c r="C36" s="68">
        <f t="shared" si="4"/>
        <v>1284021.2619976716</v>
      </c>
      <c r="D36" s="62">
        <f t="shared" si="7"/>
        <v>6.10857221523736</v>
      </c>
      <c r="E36" s="69">
        <f t="shared" si="5"/>
        <v>0.38250000000000001</v>
      </c>
      <c r="F36" s="69">
        <f t="shared" si="6"/>
        <v>3.4698489449631351</v>
      </c>
    </row>
    <row r="37" spans="1:9" x14ac:dyDescent="0.2">
      <c r="A37" s="57" t="s">
        <v>18</v>
      </c>
      <c r="B37" s="57">
        <f t="shared" si="3"/>
        <v>0.20229999999999998</v>
      </c>
      <c r="C37" s="68">
        <f t="shared" si="4"/>
        <v>2021181.6402591495</v>
      </c>
      <c r="D37" s="62">
        <f t="shared" si="7"/>
        <v>6.3056053445976818</v>
      </c>
      <c r="E37" s="69">
        <f t="shared" si="5"/>
        <v>0.38250000000000001</v>
      </c>
      <c r="F37" s="69">
        <f t="shared" si="6"/>
        <v>3.2442465262518461</v>
      </c>
    </row>
    <row r="38" spans="1:9" x14ac:dyDescent="0.2">
      <c r="A38" s="57" t="s">
        <v>20</v>
      </c>
      <c r="B38" s="57">
        <f t="shared" si="3"/>
        <v>0.20229999999999998</v>
      </c>
      <c r="C38" s="68">
        <f t="shared" si="4"/>
        <v>623.42121389174372</v>
      </c>
      <c r="D38" s="62">
        <f t="shared" si="7"/>
        <v>2.7947815764447834</v>
      </c>
      <c r="E38" s="69">
        <f t="shared" si="5"/>
        <v>0.38250000000000001</v>
      </c>
      <c r="F38" s="69">
        <f t="shared" si="6"/>
        <v>1.7745207860459307</v>
      </c>
    </row>
    <row r="39" spans="1:9" x14ac:dyDescent="0.2">
      <c r="A39" s="57" t="s">
        <v>21</v>
      </c>
      <c r="B39" s="57">
        <f t="shared" si="3"/>
        <v>0.20229999999999998</v>
      </c>
      <c r="C39" s="68">
        <f t="shared" si="4"/>
        <v>2276.0084967410626</v>
      </c>
      <c r="D39" s="62">
        <f t="shared" si="7"/>
        <v>3.3571738790239429</v>
      </c>
      <c r="E39" s="69">
        <f t="shared" si="5"/>
        <v>0.38250000000000001</v>
      </c>
      <c r="F39" s="69">
        <f t="shared" si="6"/>
        <v>2.0666704549735342</v>
      </c>
    </row>
    <row r="40" spans="1:9" x14ac:dyDescent="0.2">
      <c r="A40" s="57" t="s">
        <v>23</v>
      </c>
      <c r="B40" s="57">
        <f t="shared" si="3"/>
        <v>0.20229999999999998</v>
      </c>
      <c r="C40" s="68">
        <f t="shared" si="4"/>
        <v>1430.5870490409966</v>
      </c>
      <c r="D40" s="62">
        <f t="shared" si="7"/>
        <v>3.1555142891024492</v>
      </c>
      <c r="E40" s="69">
        <f t="shared" si="5"/>
        <v>0.38250000000000001</v>
      </c>
      <c r="F40" s="69">
        <f t="shared" si="6"/>
        <v>2.0503340273058841</v>
      </c>
    </row>
    <row r="41" spans="1:9" x14ac:dyDescent="0.2">
      <c r="A41" s="57" t="s">
        <v>24</v>
      </c>
      <c r="B41" s="57">
        <f t="shared" si="3"/>
        <v>0.20229999999999998</v>
      </c>
      <c r="C41" s="68">
        <f t="shared" si="4"/>
        <v>7050.0123450220681</v>
      </c>
      <c r="D41" s="62">
        <f t="shared" si="7"/>
        <v>3.848189877469451</v>
      </c>
      <c r="E41" s="69">
        <f t="shared" si="5"/>
        <v>0.38250000000000001</v>
      </c>
      <c r="F41" s="69">
        <f t="shared" si="6"/>
        <v>2.8564269675654193</v>
      </c>
    </row>
    <row r="42" spans="1:9" x14ac:dyDescent="0.2">
      <c r="A42" s="57" t="s">
        <v>25</v>
      </c>
      <c r="B42" s="57">
        <f t="shared" si="3"/>
        <v>0.20229999999999998</v>
      </c>
      <c r="C42" s="68">
        <f t="shared" si="4"/>
        <v>481763.41933509882</v>
      </c>
      <c r="D42" s="62">
        <f t="shared" si="7"/>
        <v>5.6828338206020437</v>
      </c>
      <c r="E42" s="69">
        <f t="shared" si="5"/>
        <v>0.38250000000000001</v>
      </c>
      <c r="F42" s="69">
        <f t="shared" si="6"/>
        <v>3.7046633302044163</v>
      </c>
    </row>
    <row r="43" spans="1:9" x14ac:dyDescent="0.2">
      <c r="A43" s="57" t="s">
        <v>26</v>
      </c>
      <c r="B43" s="57">
        <f t="shared" si="3"/>
        <v>0.20229999999999998</v>
      </c>
      <c r="C43" s="68">
        <f t="shared" si="4"/>
        <v>298513.50886489585</v>
      </c>
      <c r="D43" s="62">
        <f t="shared" si="7"/>
        <v>5.4749639893773843</v>
      </c>
      <c r="E43" s="69">
        <f t="shared" si="5"/>
        <v>0.38250000000000001</v>
      </c>
      <c r="F43" s="69">
        <f t="shared" si="6"/>
        <v>3.6766518719126959</v>
      </c>
    </row>
    <row r="46" spans="1:9" x14ac:dyDescent="0.2">
      <c r="A46" s="70" t="s">
        <v>57</v>
      </c>
      <c r="I46" s="71" t="s">
        <v>94</v>
      </c>
    </row>
    <row r="47" spans="1:9" x14ac:dyDescent="0.2">
      <c r="A47" s="71" t="s">
        <v>47</v>
      </c>
      <c r="I47" s="56" t="s">
        <v>67</v>
      </c>
    </row>
    <row r="48" spans="1:9" x14ac:dyDescent="0.2">
      <c r="A48" s="56" t="s">
        <v>95</v>
      </c>
      <c r="B48" s="56">
        <f>MWHC_input</f>
        <v>28.9</v>
      </c>
      <c r="C48" s="56" t="s">
        <v>49</v>
      </c>
      <c r="I48" s="56" t="s">
        <v>159</v>
      </c>
    </row>
    <row r="49" spans="1:9" x14ac:dyDescent="0.2">
      <c r="A49" s="56" t="s">
        <v>160</v>
      </c>
      <c r="B49" s="72" t="str">
        <f>vv_mm_MWHC</f>
        <v>v/v</v>
      </c>
      <c r="D49" s="56" t="s">
        <v>161</v>
      </c>
    </row>
    <row r="50" spans="1:9" x14ac:dyDescent="0.2">
      <c r="A50" s="56" t="s">
        <v>143</v>
      </c>
      <c r="B50" s="72" t="str">
        <f>pF_at_MWHC</f>
        <v>pF 0</v>
      </c>
      <c r="D50" s="56" t="s">
        <v>148</v>
      </c>
    </row>
    <row r="51" spans="1:9" x14ac:dyDescent="0.2">
      <c r="A51" s="56" t="s">
        <v>60</v>
      </c>
      <c r="B51" s="56">
        <f>Percentage_MWHC</f>
        <v>70</v>
      </c>
      <c r="C51" s="56" t="s">
        <v>49</v>
      </c>
      <c r="D51" s="56" t="s">
        <v>97</v>
      </c>
      <c r="I51" s="56" t="s">
        <v>140</v>
      </c>
    </row>
    <row r="52" spans="1:9" x14ac:dyDescent="0.2">
      <c r="A52" s="56" t="s">
        <v>98</v>
      </c>
      <c r="B52" s="56">
        <v>1.5</v>
      </c>
      <c r="C52" s="56" t="s">
        <v>99</v>
      </c>
      <c r="D52" s="56" t="s">
        <v>100</v>
      </c>
      <c r="I52" s="56" t="s">
        <v>141</v>
      </c>
    </row>
    <row r="53" spans="1:9" x14ac:dyDescent="0.2">
      <c r="A53" s="56" t="s">
        <v>101</v>
      </c>
      <c r="B53" s="56">
        <f>RHO_act</f>
        <v>0</v>
      </c>
      <c r="C53" s="56" t="s">
        <v>99</v>
      </c>
      <c r="D53" s="56" t="s">
        <v>102</v>
      </c>
      <c r="I53" s="56" t="s">
        <v>142</v>
      </c>
    </row>
    <row r="54" spans="1:9" x14ac:dyDescent="0.2">
      <c r="A54" s="71" t="s">
        <v>131</v>
      </c>
    </row>
    <row r="55" spans="1:9" x14ac:dyDescent="0.2">
      <c r="A55" s="56" t="s">
        <v>96</v>
      </c>
      <c r="B55" s="56">
        <f>MWHC_input/100</f>
        <v>0.28899999999999998</v>
      </c>
    </row>
    <row r="56" spans="1:9" x14ac:dyDescent="0.2">
      <c r="A56" s="56" t="s">
        <v>103</v>
      </c>
      <c r="B56" s="56">
        <f>IF(vv_mm_MWHC="w/w",IF(RHO_act=0,MWHC_fraction*RHO_default,MWHC_fraction*RHO_act),MWHC_fraction)</f>
        <v>0.28899999999999998</v>
      </c>
      <c r="D56" s="56" t="s">
        <v>104</v>
      </c>
    </row>
    <row r="57" spans="1:9" x14ac:dyDescent="0.2">
      <c r="A57" s="56" t="s">
        <v>147</v>
      </c>
      <c r="B57" s="73">
        <f>IF(pF_at_MWHC="pF 0",1,IF(pF_at_MWHC="pF 1",VLOOKUP(Building_block,'Correction MWHC'!A1:R19,17,FALSE),VLOOKUP(Building_block,'Correction MWHC'!A1:R19,18,FALSE)))</f>
        <v>1</v>
      </c>
      <c r="D57" s="56" t="s">
        <v>153</v>
      </c>
    </row>
    <row r="58" spans="1:9" x14ac:dyDescent="0.2">
      <c r="A58" s="56" t="s">
        <v>144</v>
      </c>
      <c r="B58" s="69">
        <f>MWHC_calc*Correction_factor_MWHC</f>
        <v>0.28899999999999998</v>
      </c>
      <c r="D58" s="74" t="s">
        <v>152</v>
      </c>
    </row>
    <row r="59" spans="1:9" ht="15.75" x14ac:dyDescent="0.3">
      <c r="A59" s="75" t="s">
        <v>106</v>
      </c>
      <c r="B59" s="76">
        <f>MWHC_vv_pF0*Percentage_MWHC/100</f>
        <v>0.20229999999999998</v>
      </c>
      <c r="D59" s="56" t="s">
        <v>105</v>
      </c>
    </row>
    <row r="60" spans="1:9" ht="15.75" x14ac:dyDescent="0.3">
      <c r="A60" s="56" t="s">
        <v>107</v>
      </c>
      <c r="B60" s="62">
        <f>VLOOKUP(Building_block,A26:D43,4,FALSE)</f>
        <v>6.10857221523736</v>
      </c>
    </row>
    <row r="62" spans="1:9" x14ac:dyDescent="0.2">
      <c r="A62" s="70" t="s">
        <v>69</v>
      </c>
    </row>
    <row r="63" spans="1:9" x14ac:dyDescent="0.2">
      <c r="A63" s="71" t="s">
        <v>47</v>
      </c>
    </row>
    <row r="64" spans="1:9" x14ac:dyDescent="0.2">
      <c r="A64" s="56" t="s">
        <v>108</v>
      </c>
      <c r="B64" s="56">
        <f>θ_fc_input</f>
        <v>34</v>
      </c>
      <c r="C64" s="56" t="s">
        <v>49</v>
      </c>
    </row>
    <row r="65" spans="1:4" x14ac:dyDescent="0.2">
      <c r="A65" s="56" t="s">
        <v>154</v>
      </c>
      <c r="B65" s="72" t="str">
        <f>vv_mm_FC</f>
        <v>w/w</v>
      </c>
      <c r="D65" s="56" t="s">
        <v>132</v>
      </c>
    </row>
    <row r="66" spans="1:4" x14ac:dyDescent="0.2">
      <c r="A66" s="71" t="s">
        <v>131</v>
      </c>
    </row>
    <row r="67" spans="1:4" x14ac:dyDescent="0.2">
      <c r="A67" s="56" t="s">
        <v>109</v>
      </c>
      <c r="B67" s="56">
        <f>θ_fc_input/100</f>
        <v>0.34</v>
      </c>
    </row>
    <row r="68" spans="1:4" x14ac:dyDescent="0.2">
      <c r="A68" s="56" t="s">
        <v>110</v>
      </c>
      <c r="B68" s="69">
        <f>IF(vv_mm_FC="w/w",IF(RHO_act=0,θ_fc_fraction*RHO_default,θ_fc_fraction*RHO_act),θ_fc_fraction)</f>
        <v>0.51</v>
      </c>
    </row>
    <row r="69" spans="1:4" x14ac:dyDescent="0.2">
      <c r="A69" s="56" t="s">
        <v>111</v>
      </c>
      <c r="B69" s="69">
        <f>0.75*θfc_act</f>
        <v>0.38250000000000001</v>
      </c>
    </row>
    <row r="70" spans="1:4" x14ac:dyDescent="0.2">
      <c r="A70" s="56" t="s">
        <v>112</v>
      </c>
      <c r="B70" s="62">
        <f>VLOOKUP(Building_block,A26:F43,6,FALSE)</f>
        <v>3.4698489449631351</v>
      </c>
    </row>
    <row r="72" spans="1:4" x14ac:dyDescent="0.2">
      <c r="A72" s="70" t="s">
        <v>74</v>
      </c>
    </row>
    <row r="73" spans="1:4" x14ac:dyDescent="0.2">
      <c r="A73" s="71" t="s">
        <v>47</v>
      </c>
    </row>
    <row r="74" spans="1:4" x14ac:dyDescent="0.2">
      <c r="A74" s="56" t="s">
        <v>113</v>
      </c>
      <c r="B74" s="56">
        <f>pF_input</f>
        <v>1</v>
      </c>
    </row>
    <row r="75" spans="1:4" x14ac:dyDescent="0.2">
      <c r="A75" s="71" t="s">
        <v>131</v>
      </c>
    </row>
    <row r="76" spans="1:4" x14ac:dyDescent="0.2">
      <c r="A76" s="56" t="s">
        <v>114</v>
      </c>
      <c r="B76" s="69">
        <f>VLOOKUP(Building_block,A4:J21,4,FALSE)</f>
        <v>0.58144709143832307</v>
      </c>
    </row>
  </sheetData>
  <sheetProtection password="DE86" sheet="1" objects="1" scenarios="1"/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R19"/>
  <sheetViews>
    <sheetView workbookViewId="0"/>
  </sheetViews>
  <sheetFormatPr defaultRowHeight="12.75" x14ac:dyDescent="0.2"/>
  <cols>
    <col min="1" max="1" width="15.5703125" style="56" bestFit="1" customWidth="1"/>
    <col min="2" max="16384" width="9.140625" style="56"/>
  </cols>
  <sheetData>
    <row r="1" spans="1:18" ht="15.75" x14ac:dyDescent="0.3">
      <c r="A1" s="3" t="s">
        <v>162</v>
      </c>
      <c r="B1" s="60" t="s">
        <v>82</v>
      </c>
      <c r="C1" s="60" t="s">
        <v>83</v>
      </c>
      <c r="D1" s="60" t="s">
        <v>84</v>
      </c>
      <c r="E1" s="60" t="s">
        <v>85</v>
      </c>
      <c r="F1" s="60" t="s">
        <v>86</v>
      </c>
      <c r="G1" s="60" t="s">
        <v>87</v>
      </c>
      <c r="H1" s="64" t="s">
        <v>75</v>
      </c>
      <c r="I1" s="77" t="s">
        <v>81</v>
      </c>
      <c r="J1" s="66" t="s">
        <v>133</v>
      </c>
      <c r="K1" s="64" t="s">
        <v>75</v>
      </c>
      <c r="L1" s="77" t="s">
        <v>81</v>
      </c>
      <c r="M1" s="66" t="s">
        <v>134</v>
      </c>
      <c r="N1" s="64" t="s">
        <v>75</v>
      </c>
      <c r="O1" s="77" t="s">
        <v>81</v>
      </c>
      <c r="P1" s="66" t="s">
        <v>145</v>
      </c>
      <c r="Q1" s="66" t="s">
        <v>135</v>
      </c>
      <c r="R1" s="66" t="s">
        <v>146</v>
      </c>
    </row>
    <row r="2" spans="1:18" x14ac:dyDescent="0.2">
      <c r="A2" s="57" t="s">
        <v>5</v>
      </c>
      <c r="B2" s="56">
        <v>0.02</v>
      </c>
      <c r="C2" s="56">
        <v>0.43</v>
      </c>
      <c r="D2" s="56">
        <v>23.41</v>
      </c>
      <c r="E2" s="56">
        <v>2.3400000000000001E-2</v>
      </c>
      <c r="F2" s="56">
        <v>0</v>
      </c>
      <c r="G2" s="56">
        <v>1.8009999999999999</v>
      </c>
      <c r="H2" s="62">
        <v>0</v>
      </c>
      <c r="I2" s="62">
        <f>-(10^H2)</f>
        <v>-1</v>
      </c>
      <c r="J2" s="63">
        <f t="shared" ref="J2:J19" si="0">$B2+(($C2-$B2)/((1+(ABS($E2*$I2))^$G2)^(1-1/$G2)))</f>
        <v>0.42978938080707502</v>
      </c>
      <c r="K2" s="62">
        <v>1</v>
      </c>
      <c r="L2" s="62">
        <f>-(10^K2)</f>
        <v>-10</v>
      </c>
      <c r="M2" s="63">
        <f>$B2+(($C2-$B2)/((1+(ABS($E2*$L2))^$G2)^(1-1/$G2)))</f>
        <v>0.41733362293972137</v>
      </c>
      <c r="N2" s="78">
        <v>2</v>
      </c>
      <c r="O2" s="62">
        <f>-(10^N2)</f>
        <v>-100</v>
      </c>
      <c r="P2" s="63">
        <f>$B2+(($C2-$B2)/((1+(ABS($E2*$O2))^$G2)^(1-1/$G2)))</f>
        <v>0.21020458515864307</v>
      </c>
      <c r="Q2" s="69">
        <f>J2/M2</f>
        <v>1.029846044465851</v>
      </c>
      <c r="R2" s="69">
        <f>J2/P2</f>
        <v>2.0446241954366009</v>
      </c>
    </row>
    <row r="3" spans="1:18" x14ac:dyDescent="0.2">
      <c r="A3" s="57" t="s">
        <v>6</v>
      </c>
      <c r="B3" s="56">
        <v>0.02</v>
      </c>
      <c r="C3" s="56">
        <v>0.42</v>
      </c>
      <c r="D3" s="56">
        <v>12.52</v>
      </c>
      <c r="E3" s="56">
        <v>2.76E-2</v>
      </c>
      <c r="F3" s="56">
        <v>-1.06</v>
      </c>
      <c r="G3" s="56">
        <v>1.4910000000000001</v>
      </c>
      <c r="H3" s="62">
        <v>0</v>
      </c>
      <c r="I3" s="62">
        <f t="shared" ref="I3:I19" si="1">-(10^H3)</f>
        <v>-1</v>
      </c>
      <c r="J3" s="63">
        <f t="shared" si="0"/>
        <v>0.41937813641641575</v>
      </c>
      <c r="K3" s="62">
        <v>1</v>
      </c>
      <c r="L3" s="62">
        <f t="shared" ref="L3:L19" si="2">-(10^K3)</f>
        <v>-10</v>
      </c>
      <c r="M3" s="63">
        <f t="shared" ref="M3:M19" si="3">$B3+(($C3-$B3)/((1+(ABS($E3*$L3))^$G3)^(1-1/$G3)))</f>
        <v>0.40237023899117513</v>
      </c>
      <c r="N3" s="78">
        <v>2</v>
      </c>
      <c r="O3" s="62">
        <f t="shared" ref="O3:O19" si="4">-(10^N3)</f>
        <v>-100</v>
      </c>
      <c r="P3" s="63">
        <f t="shared" ref="P3:P19" si="5">$B3+(($C3-$B3)/((1+(ABS($E3*$O3))^$G3)^(1-1/$G3)))</f>
        <v>0.24757457683933393</v>
      </c>
      <c r="Q3" s="69">
        <f t="shared" ref="Q3:Q19" si="6">J3/M3</f>
        <v>1.04226927286641</v>
      </c>
      <c r="R3" s="69">
        <f t="shared" ref="R3:R19" si="7">J3/P3</f>
        <v>1.6939466958619727</v>
      </c>
    </row>
    <row r="4" spans="1:18" x14ac:dyDescent="0.2">
      <c r="A4" s="57" t="s">
        <v>7</v>
      </c>
      <c r="B4" s="56">
        <v>0.02</v>
      </c>
      <c r="C4" s="56">
        <v>0.46</v>
      </c>
      <c r="D4" s="56">
        <v>15.42</v>
      </c>
      <c r="E4" s="56">
        <v>1.44E-2</v>
      </c>
      <c r="F4" s="56">
        <v>-0.215</v>
      </c>
      <c r="G4" s="56">
        <v>1.534</v>
      </c>
      <c r="H4" s="62">
        <v>0</v>
      </c>
      <c r="I4" s="62">
        <f t="shared" si="1"/>
        <v>-1</v>
      </c>
      <c r="J4" s="63">
        <f t="shared" si="0"/>
        <v>0.45977109304113556</v>
      </c>
      <c r="K4" s="62">
        <v>1</v>
      </c>
      <c r="L4" s="62">
        <f t="shared" si="2"/>
        <v>-10</v>
      </c>
      <c r="M4" s="63">
        <f t="shared" si="3"/>
        <v>0.45242380481609157</v>
      </c>
      <c r="N4" s="78">
        <v>2</v>
      </c>
      <c r="O4" s="62">
        <f t="shared" si="4"/>
        <v>-100</v>
      </c>
      <c r="P4" s="63">
        <f t="shared" si="5"/>
        <v>0.3294148460516339</v>
      </c>
      <c r="Q4" s="69">
        <f t="shared" si="6"/>
        <v>1.0162398356294065</v>
      </c>
      <c r="R4" s="69">
        <f t="shared" si="7"/>
        <v>1.3957206196136924</v>
      </c>
    </row>
    <row r="5" spans="1:18" x14ac:dyDescent="0.2">
      <c r="A5" s="57" t="s">
        <v>8</v>
      </c>
      <c r="B5" s="56">
        <v>0.02</v>
      </c>
      <c r="C5" s="56">
        <v>0.46</v>
      </c>
      <c r="D5" s="56">
        <v>29.22</v>
      </c>
      <c r="E5" s="56">
        <v>1.5599999999999999E-2</v>
      </c>
      <c r="F5" s="56">
        <v>0</v>
      </c>
      <c r="G5" s="56">
        <v>1.4059999999999999</v>
      </c>
      <c r="H5" s="62">
        <v>0</v>
      </c>
      <c r="I5" s="62">
        <f t="shared" si="1"/>
        <v>-1</v>
      </c>
      <c r="J5" s="63">
        <f t="shared" si="0"/>
        <v>0.4596346396926938</v>
      </c>
      <c r="K5" s="62">
        <v>1</v>
      </c>
      <c r="L5" s="62">
        <f t="shared" si="2"/>
        <v>-10</v>
      </c>
      <c r="M5" s="63">
        <f t="shared" si="3"/>
        <v>0.45109511313753103</v>
      </c>
      <c r="N5" s="78">
        <v>2</v>
      </c>
      <c r="O5" s="62">
        <f t="shared" si="4"/>
        <v>-100</v>
      </c>
      <c r="P5" s="63">
        <f t="shared" si="5"/>
        <v>0.34455746416451782</v>
      </c>
      <c r="Q5" s="69">
        <f t="shared" si="6"/>
        <v>1.0189306563216065</v>
      </c>
      <c r="R5" s="69">
        <f t="shared" si="7"/>
        <v>1.333985437834629</v>
      </c>
    </row>
    <row r="6" spans="1:18" x14ac:dyDescent="0.2">
      <c r="A6" s="57" t="s">
        <v>9</v>
      </c>
      <c r="B6" s="56">
        <v>0.01</v>
      </c>
      <c r="C6" s="56">
        <v>0.36</v>
      </c>
      <c r="D6" s="56">
        <v>52.91</v>
      </c>
      <c r="E6" s="56">
        <v>4.5199999999999997E-2</v>
      </c>
      <c r="F6" s="56">
        <v>-0.35899999999999999</v>
      </c>
      <c r="G6" s="56">
        <v>1.9330000000000001</v>
      </c>
      <c r="H6" s="62">
        <v>0</v>
      </c>
      <c r="I6" s="62">
        <f t="shared" si="1"/>
        <v>-1</v>
      </c>
      <c r="J6" s="63">
        <f t="shared" si="0"/>
        <v>0.35957607217471971</v>
      </c>
      <c r="K6" s="62">
        <v>1</v>
      </c>
      <c r="L6" s="62">
        <f t="shared" si="2"/>
        <v>-10</v>
      </c>
      <c r="M6" s="63">
        <f t="shared" si="3"/>
        <v>0.32854071425557202</v>
      </c>
      <c r="N6" s="78">
        <v>2</v>
      </c>
      <c r="O6" s="62">
        <f t="shared" si="4"/>
        <v>-100</v>
      </c>
      <c r="P6" s="63">
        <f t="shared" si="5"/>
        <v>9.3515891302626886E-2</v>
      </c>
      <c r="Q6" s="69">
        <f t="shared" si="6"/>
        <v>1.094464267509339</v>
      </c>
      <c r="R6" s="69">
        <f t="shared" si="7"/>
        <v>3.8450798807134841</v>
      </c>
    </row>
    <row r="7" spans="1:18" x14ac:dyDescent="0.2">
      <c r="A7" s="57" t="s">
        <v>10</v>
      </c>
      <c r="B7" s="56">
        <v>0.01</v>
      </c>
      <c r="C7" s="56">
        <v>0.38</v>
      </c>
      <c r="D7" s="56">
        <v>100.69</v>
      </c>
      <c r="E7" s="56">
        <v>2.2200000000000001E-2</v>
      </c>
      <c r="F7" s="56">
        <v>-1.7470000000000001</v>
      </c>
      <c r="G7" s="56">
        <v>1.238</v>
      </c>
      <c r="H7" s="62">
        <v>0</v>
      </c>
      <c r="I7" s="62">
        <f t="shared" si="1"/>
        <v>-1</v>
      </c>
      <c r="J7" s="63">
        <f t="shared" si="0"/>
        <v>0.37936535662113186</v>
      </c>
      <c r="K7" s="62">
        <v>1</v>
      </c>
      <c r="L7" s="62">
        <f t="shared" si="2"/>
        <v>-10</v>
      </c>
      <c r="M7" s="63">
        <f t="shared" si="3"/>
        <v>0.36988099784422024</v>
      </c>
      <c r="N7" s="78">
        <v>2</v>
      </c>
      <c r="O7" s="62">
        <f t="shared" si="4"/>
        <v>-100</v>
      </c>
      <c r="P7" s="63">
        <f t="shared" si="5"/>
        <v>0.29795786618699238</v>
      </c>
      <c r="Q7" s="69">
        <f t="shared" si="6"/>
        <v>1.0256416491579436</v>
      </c>
      <c r="R7" s="69">
        <f t="shared" si="7"/>
        <v>1.2732181280391159</v>
      </c>
    </row>
    <row r="8" spans="1:18" x14ac:dyDescent="0.2">
      <c r="A8" s="57" t="s">
        <v>12</v>
      </c>
      <c r="B8" s="56">
        <v>0</v>
      </c>
      <c r="C8" s="56">
        <v>0.4</v>
      </c>
      <c r="D8" s="56">
        <v>14.07</v>
      </c>
      <c r="E8" s="56">
        <v>1.9400000000000001E-2</v>
      </c>
      <c r="F8" s="56">
        <v>-0.80200000000000005</v>
      </c>
      <c r="G8" s="56">
        <v>1.25</v>
      </c>
      <c r="H8" s="62">
        <v>0</v>
      </c>
      <c r="I8" s="62">
        <f t="shared" si="1"/>
        <v>-1</v>
      </c>
      <c r="J8" s="63">
        <f t="shared" si="0"/>
        <v>0.39942328478650529</v>
      </c>
      <c r="K8" s="62">
        <v>1</v>
      </c>
      <c r="L8" s="62">
        <f t="shared" si="2"/>
        <v>-10</v>
      </c>
      <c r="M8" s="63">
        <f t="shared" si="3"/>
        <v>0.39042743387634848</v>
      </c>
      <c r="N8" s="78">
        <v>2</v>
      </c>
      <c r="O8" s="62">
        <f t="shared" si="4"/>
        <v>-100</v>
      </c>
      <c r="P8" s="63">
        <f t="shared" si="5"/>
        <v>0.31523353368832457</v>
      </c>
      <c r="Q8" s="69">
        <f t="shared" si="6"/>
        <v>1.0230410317759737</v>
      </c>
      <c r="R8" s="69">
        <f t="shared" si="7"/>
        <v>1.2670710508274168</v>
      </c>
    </row>
    <row r="9" spans="1:18" x14ac:dyDescent="0.2">
      <c r="A9" s="57" t="s">
        <v>13</v>
      </c>
      <c r="B9" s="56">
        <v>0.01</v>
      </c>
      <c r="C9" s="56">
        <v>0.43</v>
      </c>
      <c r="D9" s="56">
        <v>2.36</v>
      </c>
      <c r="E9" s="56">
        <v>9.9000000000000008E-3</v>
      </c>
      <c r="F9" s="56">
        <v>-2.2440000000000002</v>
      </c>
      <c r="G9" s="56">
        <v>1.288</v>
      </c>
      <c r="H9" s="62">
        <v>0</v>
      </c>
      <c r="I9" s="62">
        <f t="shared" si="1"/>
        <v>-1</v>
      </c>
      <c r="J9" s="63">
        <f t="shared" si="0"/>
        <v>0.42975429806510679</v>
      </c>
      <c r="K9" s="62">
        <v>1</v>
      </c>
      <c r="L9" s="62">
        <f t="shared" si="2"/>
        <v>-10</v>
      </c>
      <c r="M9" s="63">
        <f t="shared" si="3"/>
        <v>0.42536680569910146</v>
      </c>
      <c r="N9" s="78">
        <v>2</v>
      </c>
      <c r="O9" s="62">
        <f t="shared" si="4"/>
        <v>-100</v>
      </c>
      <c r="P9" s="63">
        <f t="shared" si="5"/>
        <v>0.37021743830067677</v>
      </c>
      <c r="Q9" s="69">
        <f t="shared" si="6"/>
        <v>1.0103146091966306</v>
      </c>
      <c r="R9" s="69">
        <f t="shared" si="7"/>
        <v>1.1608159249270058</v>
      </c>
    </row>
    <row r="10" spans="1:18" x14ac:dyDescent="0.2">
      <c r="A10" s="57" t="s">
        <v>14</v>
      </c>
      <c r="B10" s="56">
        <v>0</v>
      </c>
      <c r="C10" s="56">
        <v>0.43</v>
      </c>
      <c r="D10" s="56">
        <v>1.54</v>
      </c>
      <c r="E10" s="56">
        <v>6.4999999999999997E-3</v>
      </c>
      <c r="F10" s="56">
        <v>-2.161</v>
      </c>
      <c r="G10" s="56">
        <v>1.325</v>
      </c>
      <c r="H10" s="62">
        <v>0</v>
      </c>
      <c r="I10" s="62">
        <f t="shared" si="1"/>
        <v>-1</v>
      </c>
      <c r="J10" s="63">
        <f t="shared" si="0"/>
        <v>0.42986667725679112</v>
      </c>
      <c r="K10" s="62">
        <v>1</v>
      </c>
      <c r="L10" s="62">
        <f t="shared" si="2"/>
        <v>-10</v>
      </c>
      <c r="M10" s="63">
        <f t="shared" si="3"/>
        <v>0.42722604536547459</v>
      </c>
      <c r="N10" s="78">
        <v>2</v>
      </c>
      <c r="O10" s="62">
        <f t="shared" si="4"/>
        <v>-100</v>
      </c>
      <c r="P10" s="63">
        <f t="shared" si="5"/>
        <v>0.38525822753561495</v>
      </c>
      <c r="Q10" s="69">
        <f t="shared" si="6"/>
        <v>1.0061808775938685</v>
      </c>
      <c r="R10" s="69">
        <f t="shared" si="7"/>
        <v>1.1157884414475026</v>
      </c>
    </row>
    <row r="11" spans="1:18" x14ac:dyDescent="0.2">
      <c r="A11" s="57" t="s">
        <v>16</v>
      </c>
      <c r="B11" s="56">
        <v>0.01</v>
      </c>
      <c r="C11" s="56">
        <v>0.43</v>
      </c>
      <c r="D11" s="56">
        <v>0.7</v>
      </c>
      <c r="E11" s="56">
        <v>6.4000000000000003E-3</v>
      </c>
      <c r="F11" s="56">
        <v>-3.8839999999999999</v>
      </c>
      <c r="G11" s="56">
        <v>1.21</v>
      </c>
      <c r="H11" s="62">
        <v>0</v>
      </c>
      <c r="I11" s="62">
        <f t="shared" si="1"/>
        <v>-1</v>
      </c>
      <c r="J11" s="63">
        <f t="shared" si="0"/>
        <v>0.42983871390411149</v>
      </c>
      <c r="K11" s="62">
        <v>1</v>
      </c>
      <c r="L11" s="62">
        <f t="shared" si="2"/>
        <v>-10</v>
      </c>
      <c r="M11" s="63">
        <f t="shared" si="3"/>
        <v>0.42743467044720118</v>
      </c>
      <c r="N11" s="78">
        <v>2</v>
      </c>
      <c r="O11" s="62">
        <f t="shared" si="4"/>
        <v>-100</v>
      </c>
      <c r="P11" s="63">
        <f t="shared" si="5"/>
        <v>0.39782948960709941</v>
      </c>
      <c r="Q11" s="69">
        <f t="shared" si="6"/>
        <v>1.0056243529669577</v>
      </c>
      <c r="R11" s="69">
        <f t="shared" si="7"/>
        <v>1.080459657047105</v>
      </c>
    </row>
    <row r="12" spans="1:18" x14ac:dyDescent="0.2">
      <c r="A12" s="57" t="s">
        <v>17</v>
      </c>
      <c r="B12" s="56">
        <v>0.01</v>
      </c>
      <c r="C12" s="56">
        <v>0.59</v>
      </c>
      <c r="D12" s="56">
        <v>4.53</v>
      </c>
      <c r="E12" s="56">
        <v>1.95E-2</v>
      </c>
      <c r="F12" s="56">
        <v>-5.9009999999999998</v>
      </c>
      <c r="G12" s="56">
        <v>1.109</v>
      </c>
      <c r="H12" s="62">
        <v>0</v>
      </c>
      <c r="I12" s="62">
        <f t="shared" si="1"/>
        <v>-1</v>
      </c>
      <c r="J12" s="63">
        <f t="shared" si="0"/>
        <v>0.58928127989065704</v>
      </c>
      <c r="K12" s="62">
        <v>1</v>
      </c>
      <c r="L12" s="62">
        <f t="shared" si="2"/>
        <v>-10</v>
      </c>
      <c r="M12" s="63">
        <f t="shared" si="3"/>
        <v>0.58144709143832307</v>
      </c>
      <c r="N12" s="78">
        <v>2</v>
      </c>
      <c r="O12" s="62">
        <f t="shared" si="4"/>
        <v>-100</v>
      </c>
      <c r="P12" s="63">
        <f t="shared" si="5"/>
        <v>0.52900513660522441</v>
      </c>
      <c r="Q12" s="69">
        <f t="shared" si="6"/>
        <v>1.0134736050238975</v>
      </c>
      <c r="R12" s="69">
        <f t="shared" si="7"/>
        <v>1.1139424537013793</v>
      </c>
    </row>
    <row r="13" spans="1:18" x14ac:dyDescent="0.2">
      <c r="A13" s="57" t="s">
        <v>18</v>
      </c>
      <c r="B13" s="56">
        <v>0.01</v>
      </c>
      <c r="C13" s="56">
        <v>0.54</v>
      </c>
      <c r="D13" s="56">
        <v>5.37</v>
      </c>
      <c r="E13" s="56">
        <v>2.3900000000000001E-2</v>
      </c>
      <c r="F13" s="56">
        <v>-5.681</v>
      </c>
      <c r="G13" s="56">
        <v>1.0940000000000001</v>
      </c>
      <c r="H13" s="62">
        <v>0</v>
      </c>
      <c r="I13" s="62">
        <f t="shared" si="1"/>
        <v>-1</v>
      </c>
      <c r="J13" s="63">
        <f t="shared" si="0"/>
        <v>0.53924069864047885</v>
      </c>
      <c r="K13" s="62">
        <v>1</v>
      </c>
      <c r="L13" s="62">
        <f t="shared" si="2"/>
        <v>-10</v>
      </c>
      <c r="M13" s="63">
        <f t="shared" si="3"/>
        <v>0.53143021660117495</v>
      </c>
      <c r="N13" s="78">
        <v>2</v>
      </c>
      <c r="O13" s="62">
        <f t="shared" si="4"/>
        <v>-100</v>
      </c>
      <c r="P13" s="63">
        <f t="shared" si="5"/>
        <v>0.48483090676805879</v>
      </c>
      <c r="Q13" s="69">
        <f t="shared" si="6"/>
        <v>1.0146970981237324</v>
      </c>
      <c r="R13" s="69">
        <f t="shared" si="7"/>
        <v>1.1122242644041038</v>
      </c>
    </row>
    <row r="14" spans="1:18" x14ac:dyDescent="0.2">
      <c r="A14" s="57" t="s">
        <v>20</v>
      </c>
      <c r="B14" s="56">
        <v>0.01</v>
      </c>
      <c r="C14" s="56">
        <v>0.42</v>
      </c>
      <c r="D14" s="56">
        <v>12.98</v>
      </c>
      <c r="E14" s="56">
        <v>8.3999999999999995E-3</v>
      </c>
      <c r="F14" s="56">
        <v>-1.4970000000000001</v>
      </c>
      <c r="G14" s="56">
        <v>1.4410000000000001</v>
      </c>
      <c r="H14" s="62">
        <v>0</v>
      </c>
      <c r="I14" s="62">
        <f t="shared" si="1"/>
        <v>-1</v>
      </c>
      <c r="J14" s="63">
        <f t="shared" si="0"/>
        <v>0.41987201602874158</v>
      </c>
      <c r="K14" s="62">
        <v>1</v>
      </c>
      <c r="L14" s="62">
        <f t="shared" si="2"/>
        <v>-10</v>
      </c>
      <c r="M14" s="63">
        <f t="shared" si="3"/>
        <v>0.41652822279528107</v>
      </c>
      <c r="N14" s="78">
        <v>2</v>
      </c>
      <c r="O14" s="62">
        <f t="shared" si="4"/>
        <v>-100</v>
      </c>
      <c r="P14" s="63">
        <f t="shared" si="5"/>
        <v>0.35380156233936794</v>
      </c>
      <c r="Q14" s="69">
        <f t="shared" si="6"/>
        <v>1.0080277711100118</v>
      </c>
      <c r="R14" s="69">
        <f t="shared" si="7"/>
        <v>1.1867443808119722</v>
      </c>
    </row>
    <row r="15" spans="1:18" x14ac:dyDescent="0.2">
      <c r="A15" s="57" t="s">
        <v>21</v>
      </c>
      <c r="B15" s="56">
        <v>0.01</v>
      </c>
      <c r="C15" s="56">
        <v>0.42</v>
      </c>
      <c r="D15" s="56">
        <v>0.8</v>
      </c>
      <c r="E15" s="56">
        <v>5.1000000000000004E-3</v>
      </c>
      <c r="F15" s="56">
        <v>0</v>
      </c>
      <c r="G15" s="56">
        <v>1.3049999999999999</v>
      </c>
      <c r="H15" s="62">
        <v>0</v>
      </c>
      <c r="I15" s="62">
        <f t="shared" si="1"/>
        <v>-1</v>
      </c>
      <c r="J15" s="63">
        <f t="shared" si="0"/>
        <v>0.41990237090386939</v>
      </c>
      <c r="K15" s="62">
        <v>1</v>
      </c>
      <c r="L15" s="62">
        <f t="shared" si="2"/>
        <v>-10</v>
      </c>
      <c r="M15" s="63">
        <f t="shared" si="3"/>
        <v>0.41805289839839049</v>
      </c>
      <c r="N15" s="78">
        <v>2</v>
      </c>
      <c r="O15" s="62">
        <f t="shared" si="4"/>
        <v>-100</v>
      </c>
      <c r="P15" s="63">
        <f t="shared" si="5"/>
        <v>0.38803055107429091</v>
      </c>
      <c r="Q15" s="69">
        <f t="shared" si="6"/>
        <v>1.0044240155075217</v>
      </c>
      <c r="R15" s="69">
        <f t="shared" si="7"/>
        <v>1.0821373980511046</v>
      </c>
    </row>
    <row r="16" spans="1:18" x14ac:dyDescent="0.2">
      <c r="A16" s="57" t="s">
        <v>23</v>
      </c>
      <c r="B16" s="56">
        <v>0.01</v>
      </c>
      <c r="C16" s="56">
        <v>0.53</v>
      </c>
      <c r="D16" s="56">
        <v>81.28</v>
      </c>
      <c r="E16" s="56">
        <v>2.4199999999999999E-2</v>
      </c>
      <c r="F16" s="56">
        <v>-1.476</v>
      </c>
      <c r="G16" s="56">
        <v>1.28</v>
      </c>
      <c r="H16" s="62">
        <v>0</v>
      </c>
      <c r="I16" s="62">
        <f t="shared" si="1"/>
        <v>-1</v>
      </c>
      <c r="J16" s="63">
        <f t="shared" si="0"/>
        <v>0.52903398420399494</v>
      </c>
      <c r="K16" s="62">
        <v>1</v>
      </c>
      <c r="L16" s="62">
        <f t="shared" si="2"/>
        <v>-10</v>
      </c>
      <c r="M16" s="63">
        <f t="shared" si="3"/>
        <v>0.51313608938100586</v>
      </c>
      <c r="N16" s="78">
        <v>2</v>
      </c>
      <c r="O16" s="62">
        <f t="shared" si="4"/>
        <v>-100</v>
      </c>
      <c r="P16" s="63">
        <f t="shared" si="5"/>
        <v>0.39191769433832213</v>
      </c>
      <c r="Q16" s="69">
        <f t="shared" si="6"/>
        <v>1.0309818294834157</v>
      </c>
      <c r="R16" s="69">
        <f t="shared" si="7"/>
        <v>1.349859911523432</v>
      </c>
    </row>
    <row r="17" spans="1:18" x14ac:dyDescent="0.2">
      <c r="A17" s="57" t="s">
        <v>24</v>
      </c>
      <c r="B17" s="56">
        <v>0.01</v>
      </c>
      <c r="C17" s="56">
        <v>0.8</v>
      </c>
      <c r="D17" s="56">
        <v>6.79</v>
      </c>
      <c r="E17" s="56">
        <v>1.7600000000000001E-2</v>
      </c>
      <c r="F17" s="56">
        <v>-2.2589999999999999</v>
      </c>
      <c r="G17" s="56">
        <v>1.2929999999999999</v>
      </c>
      <c r="H17" s="62">
        <v>0</v>
      </c>
      <c r="I17" s="62">
        <f t="shared" si="1"/>
        <v>-1</v>
      </c>
      <c r="J17" s="63">
        <f t="shared" si="0"/>
        <v>0.79903858201597189</v>
      </c>
      <c r="K17" s="62">
        <v>1</v>
      </c>
      <c r="L17" s="62">
        <f t="shared" si="2"/>
        <v>-10</v>
      </c>
      <c r="M17" s="63">
        <f t="shared" si="3"/>
        <v>0.78220140382171588</v>
      </c>
      <c r="N17" s="78">
        <v>2</v>
      </c>
      <c r="O17" s="62">
        <f t="shared" si="4"/>
        <v>-100</v>
      </c>
      <c r="P17" s="63">
        <f t="shared" si="5"/>
        <v>0.62236917151476345</v>
      </c>
      <c r="Q17" s="69">
        <f t="shared" si="6"/>
        <v>1.0215253745544206</v>
      </c>
      <c r="R17" s="69">
        <f t="shared" si="7"/>
        <v>1.2838659409675108</v>
      </c>
    </row>
    <row r="18" spans="1:18" x14ac:dyDescent="0.2">
      <c r="A18" s="57" t="s">
        <v>25</v>
      </c>
      <c r="B18" s="56">
        <v>0</v>
      </c>
      <c r="C18" s="56">
        <v>0.72</v>
      </c>
      <c r="D18" s="56">
        <v>4.46</v>
      </c>
      <c r="E18" s="56">
        <v>1.7999999999999999E-2</v>
      </c>
      <c r="F18" s="56">
        <v>-0.35</v>
      </c>
      <c r="G18" s="56">
        <v>1.1399999999999999</v>
      </c>
      <c r="H18" s="62">
        <v>0</v>
      </c>
      <c r="I18" s="62">
        <f t="shared" si="1"/>
        <v>-1</v>
      </c>
      <c r="J18" s="63">
        <f t="shared" si="0"/>
        <v>0.71909827010192828</v>
      </c>
      <c r="K18" s="62">
        <v>1</v>
      </c>
      <c r="L18" s="62">
        <f t="shared" si="2"/>
        <v>-10</v>
      </c>
      <c r="M18" s="63">
        <f t="shared" si="3"/>
        <v>0.70838634275849111</v>
      </c>
      <c r="N18" s="78">
        <v>2</v>
      </c>
      <c r="O18" s="62">
        <f t="shared" si="4"/>
        <v>-100</v>
      </c>
      <c r="P18" s="63">
        <f t="shared" si="5"/>
        <v>0.63031231558776202</v>
      </c>
      <c r="Q18" s="69">
        <f t="shared" si="6"/>
        <v>1.0151215893035492</v>
      </c>
      <c r="R18" s="69">
        <f t="shared" si="7"/>
        <v>1.1408602566037027</v>
      </c>
    </row>
    <row r="19" spans="1:18" x14ac:dyDescent="0.2">
      <c r="A19" s="57" t="s">
        <v>26</v>
      </c>
      <c r="B19" s="56">
        <v>0</v>
      </c>
      <c r="C19" s="56">
        <v>0.77</v>
      </c>
      <c r="D19" s="56">
        <v>6.67</v>
      </c>
      <c r="E19" s="56">
        <v>1.9699999999999999E-2</v>
      </c>
      <c r="F19" s="56">
        <v>-1.845</v>
      </c>
      <c r="G19" s="56">
        <v>1.1539999999999999</v>
      </c>
      <c r="H19" s="62">
        <v>0</v>
      </c>
      <c r="I19" s="62">
        <f t="shared" si="1"/>
        <v>-1</v>
      </c>
      <c r="J19" s="63">
        <f t="shared" si="0"/>
        <v>0.76890103603010884</v>
      </c>
      <c r="K19" s="62">
        <v>1</v>
      </c>
      <c r="L19" s="62">
        <f t="shared" si="2"/>
        <v>-10</v>
      </c>
      <c r="M19" s="63">
        <f t="shared" si="3"/>
        <v>0.75547443444590734</v>
      </c>
      <c r="N19" s="78">
        <v>2</v>
      </c>
      <c r="O19" s="62">
        <f t="shared" si="4"/>
        <v>-100</v>
      </c>
      <c r="P19" s="63">
        <f t="shared" si="5"/>
        <v>0.65965694453773371</v>
      </c>
      <c r="Q19" s="69">
        <f t="shared" si="6"/>
        <v>1.0177724102524384</v>
      </c>
      <c r="R19" s="69">
        <f t="shared" si="7"/>
        <v>1.1656074303423423</v>
      </c>
    </row>
  </sheetData>
  <sheetProtection password="DE86" sheet="1" objects="1" scenarios="1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Desktop</vt:lpstr>
      <vt:lpstr>Soil type assignment</vt:lpstr>
      <vt:lpstr>Calculations</vt:lpstr>
      <vt:lpstr>Correction MWHC</vt:lpstr>
      <vt:lpstr>_0.75θfc_act</vt:lpstr>
      <vt:lpstr>Building_block</vt:lpstr>
      <vt:lpstr>Building_block_desc_NL</vt:lpstr>
      <vt:lpstr>clay</vt:lpstr>
      <vt:lpstr>Correction_factor_MWHC</vt:lpstr>
      <vt:lpstr>Loam</vt:lpstr>
      <vt:lpstr>MWHC_calc</vt:lpstr>
      <vt:lpstr>MWHC_fraction</vt:lpstr>
      <vt:lpstr>MWHC_input</vt:lpstr>
      <vt:lpstr>MWHC_List</vt:lpstr>
      <vt:lpstr>MWHC_vv_pF0</vt:lpstr>
      <vt:lpstr>organic_matter</vt:lpstr>
      <vt:lpstr>Percentage_MWHC</vt:lpstr>
      <vt:lpstr>pF_0.75FC</vt:lpstr>
      <vt:lpstr>pF_at_MWHC</vt:lpstr>
      <vt:lpstr>pF_input</vt:lpstr>
      <vt:lpstr>pF_List</vt:lpstr>
      <vt:lpstr>pF_θact</vt:lpstr>
      <vt:lpstr>RHO_act</vt:lpstr>
      <vt:lpstr>RHO_default</vt:lpstr>
      <vt:lpstr>sand</vt:lpstr>
      <vt:lpstr>silt</vt:lpstr>
      <vt:lpstr>Sum</vt:lpstr>
      <vt:lpstr>SumError</vt:lpstr>
      <vt:lpstr>vv_mm_FC</vt:lpstr>
      <vt:lpstr>vv_mm_MWHC</vt:lpstr>
      <vt:lpstr>θ_fc_fraction</vt:lpstr>
      <vt:lpstr>θ_fc_input</vt:lpstr>
      <vt:lpstr>θ_h</vt:lpstr>
      <vt:lpstr>θact</vt:lpstr>
      <vt:lpstr>θfc_act</vt:lpstr>
    </vt:vector>
  </TitlesOfParts>
  <Company>Clikclak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</dc:creator>
  <cp:lastModifiedBy>Peter van Vlaardingen</cp:lastModifiedBy>
  <dcterms:created xsi:type="dcterms:W3CDTF">2006-10-17T18:38:27Z</dcterms:created>
  <dcterms:modified xsi:type="dcterms:W3CDTF">2021-10-11T07:00:37Z</dcterms:modified>
</cp:coreProperties>
</file>